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mployee master" sheetId="1" state="visible" r:id="rId1"/>
    <sheet xmlns:r="http://schemas.openxmlformats.org/officeDocument/2006/relationships" name="Rates 2026-27" sheetId="2" state="visible" r:id="rId2"/>
    <sheet xmlns:r="http://schemas.openxmlformats.org/officeDocument/2006/relationships" name="Payroll register" sheetId="3" state="visible" r:id="rId3"/>
    <sheet xmlns:r="http://schemas.openxmlformats.org/officeDocument/2006/relationships" name="Payslip" sheetId="4" state="visible" r:id="rId4"/>
    <sheet xmlns:r="http://schemas.openxmlformats.org/officeDocument/2006/relationships" name="EMP201 summary" sheetId="5" state="visible" r:id="rId5"/>
    <sheet xmlns:r="http://schemas.openxmlformats.org/officeDocument/2006/relationships" name="How payroll works" sheetId="6" state="visible" r:id="rId6"/>
  </sheets>
  <definedNames>
    <definedName name="MST_NO">'Employee master'!$A$9:$A$20</definedName>
    <definedName name="MST_ALL">'Employee master'!$A$9:$W$20</definedName>
    <definedName name="TAX_YEAR_END">'Rates 2026-27'!$C$10</definedName>
    <definedName name="PAY_PERIODS">'Rates 2026-27'!$C$11</definedName>
    <definedName name="WEEKS_MONTH">'Rates 2026-27'!$C$12</definedName>
    <definedName name="OT_MULT">'Rates 2026-27'!$C$13</definedName>
    <definedName name="TAX_RATE">'Rates 2026-27'!$B$17:$B$23</definedName>
    <definedName name="TAX_FROM">'Rates 2026-27'!$C$17:$C$23</definedName>
    <definedName name="TAX_BASE">'Rates 2026-27'!$E$17:$E$23</definedName>
    <definedName name="TAX_ABOVE">'Rates 2026-27'!$F$17:$F$23</definedName>
    <definedName name="REBATE_1">'Rates 2026-27'!$C$27</definedName>
    <definedName name="REBATE_2">'Rates 2026-27'!$C$28</definedName>
    <definedName name="REBATE_3">'Rates 2026-27'!$C$29</definedName>
    <definedName name="AGE_2">'Rates 2026-27'!$C$30</definedName>
    <definedName name="AGE_3">'Rates 2026-27'!$C$31</definedName>
    <definedName name="MED_MAIN">'Rates 2026-27'!$C$41</definedName>
    <definedName name="MED_FIRST">'Rates 2026-27'!$C$42</definedName>
    <definedName name="MED_EXTRA">'Rates 2026-27'!$C$43</definedName>
    <definedName name="UIF_RATE">'Rates 2026-27'!$C$48</definedName>
    <definedName name="UIF_RATE_ER">'Rates 2026-27'!$C$49</definedName>
    <definedName name="UIF_CEILING">'Rates 2026-27'!$C$50</definedName>
    <definedName name="SDL_RATE">'Rates 2026-27'!$C$55</definedName>
    <definedName name="SDL_THRESHOLD">'Rates 2026-27'!$C$56</definedName>
    <definedName name="SDL_ON">'Rates 2026-27'!$C$59</definedName>
    <definedName name="COIDA_TARIFF">'Rates 2026-27'!$C$63</definedName>
    <definedName name="COIDA_MONTH">'Rates 2026-27'!$C$65</definedName>
    <definedName name="NMW_RATE">'Rates 2026-27'!$C$69</definedName>
    <definedName name="ETI_CAP">'Rates 2026-27'!$C$74</definedName>
    <definedName name="ETI_B1">'Rates 2026-27'!$C$75</definedName>
    <definedName name="ETI_B2">'Rates 2026-27'!$C$76</definedName>
    <definedName name="ETI_P1">'Rates 2026-27'!$C$77</definedName>
    <definedName name="ETI_P2">'Rates 2026-27'!$C$78</definedName>
    <definedName name="ETI_M1">'Rates 2026-27'!$C$79</definedName>
    <definedName name="ETI_M2">'Rates 2026-27'!$C$80</definedName>
    <definedName name="ETI_T1">'Rates 2026-27'!$C$81</definedName>
    <definedName name="ETI_T2">'Rates 2026-27'!$C$82</definedName>
    <definedName name="ETI_HOURS">'Rates 2026-27'!$C$83</definedName>
    <definedName name="ETI_AGE_MIN">'Rates 2026-27'!$C$84</definedName>
    <definedName name="ETI_AGE_MAX">'Rates 2026-27'!$C$85</definedName>
    <definedName name="ETI_FLOOR">'Rates 2026-27'!$C$86</definedName>
    <definedName name="REG_NO">'Payroll register'!$B$12:$B$23</definedName>
    <definedName name="REG_AC">'Payroll register'!$AC$12:$AC$23</definedName>
    <definedName name="REG_ALL">'Payroll register'!$A$12:$AC$23</definedName>
    <definedName name="REG_GROSS_TOTAL">'Payroll register'!$L$24</definedName>
    <definedName name="REG_PAYE_TOTAL">'Payroll register'!$T$24</definedName>
    <definedName name="REG_UIF_EE_TOTAL">'Payroll register'!$U$24</definedName>
    <definedName name="REG_UIF_ER_TOTAL">'Payroll register'!$Y$24</definedName>
    <definedName name="REG_SDL_TOTAL">'Payroll register'!$Z$24</definedName>
    <definedName name="REG_COIDA_TOTAL">'Payroll register'!$AA$24</definedName>
    <definedName name="REG_NET_TOTAL">'Payroll register'!$X$24</definedName>
    <definedName name="PAY_PERIOD_END">'Payroll register'!$E$8</definedName>
    <definedName name="EMP_PAYABLE">'EMP201 summary'!$B$25</definedName>
    <definedName name="EMP_ETI_USED">'EMP201 summary'!$B$23</definedName>
  </definedNames>
  <calcPr calcId="124519" fullCalcOnLoad="1"/>
</workbook>
</file>

<file path=xl/styles.xml><?xml version="1.0" encoding="utf-8"?>
<styleSheet xmlns="http://schemas.openxmlformats.org/spreadsheetml/2006/main">
  <numFmts count="6">
    <numFmt numFmtId="164" formatCode="yyyy-mm-dd"/>
    <numFmt numFmtId="165" formatCode="DD MMM YYYY"/>
    <numFmt numFmtId="166" formatCode="&quot;R&quot; #,##0.00"/>
    <numFmt numFmtId="167" formatCode="0.0%"/>
    <numFmt numFmtId="168" formatCode="0.0000"/>
    <numFmt numFmtId="169" formatCode="&quot;R&quot; #,##0"/>
  </numFmts>
  <fonts count="27">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FFFFFF"/>
      <sz val="8.5"/>
    </font>
    <font>
      <name val="Arial"/>
      <color rgb="000000FF"/>
      <sz val="9"/>
    </font>
    <font>
      <name val="Arial"/>
      <color rgb="00191C4A"/>
      <sz val="9"/>
    </font>
    <font>
      <name val="Arial"/>
      <b val="1"/>
      <color rgb="00FFFFFF"/>
      <sz val="10"/>
    </font>
    <font>
      <name val="Arial"/>
      <i val="1"/>
      <color rgb="00C4830A"/>
      <sz val="8.5"/>
    </font>
    <font>
      <name val="Arial"/>
      <i val="1"/>
      <color rgb="006B6870"/>
      <sz val="8.5"/>
    </font>
    <font>
      <name val="Arial"/>
      <color rgb="00222222"/>
      <sz val="10"/>
    </font>
    <font>
      <name val="Arial"/>
      <color rgb="000000FF"/>
      <sz val="10"/>
    </font>
    <font>
      <name val="Arial"/>
      <color rgb="00191C4A"/>
      <sz val="10"/>
    </font>
    <font>
      <name val="Arial"/>
      <color rgb="00222222"/>
      <sz val="9"/>
    </font>
    <font>
      <name val="Arial"/>
      <color rgb="006B6870"/>
      <sz val="9"/>
    </font>
    <font>
      <name val="Arial"/>
      <b val="1"/>
      <color rgb="00191C4A"/>
      <sz val="9"/>
    </font>
    <font>
      <name val="Arial"/>
      <b val="1"/>
      <color rgb="00191C4A"/>
      <sz val="10"/>
    </font>
    <font>
      <name val="Arial"/>
      <b val="1"/>
      <color rgb="00191C4A"/>
      <sz val="9.5"/>
    </font>
    <font>
      <name val="Arial"/>
      <b val="1"/>
      <color rgb="001D9E75"/>
      <sz val="9.5"/>
    </font>
    <font>
      <name val="Arial"/>
      <b val="1"/>
      <color rgb="00222222"/>
      <sz val="10"/>
    </font>
    <font>
      <name val="Arial"/>
      <b val="1"/>
      <color rgb="00191C4A"/>
      <sz val="11"/>
    </font>
    <font>
      <name val="Arial"/>
      <b val="1"/>
      <color rgb="00FFFFFF"/>
      <sz val="11"/>
    </font>
    <font>
      <name val="Arial"/>
      <b val="1"/>
      <color rgb="00FFFFFF"/>
      <sz val="12"/>
    </font>
    <font>
      <name val="Arial"/>
      <b val="1"/>
      <color rgb="001D9E75"/>
      <sz val="11"/>
    </font>
    <font>
      <name val="Arial"/>
      <color rgb="00222222"/>
      <sz val="9.5"/>
    </font>
    <font>
      <name val="Arial"/>
      <color rgb="00191C4A"/>
      <sz val="9.5"/>
    </font>
  </fonts>
  <fills count="7">
    <fill>
      <patternFill/>
    </fill>
    <fill>
      <patternFill patternType="gray125"/>
    </fill>
    <fill>
      <patternFill patternType="solid">
        <fgColor rgb="00191C4A"/>
      </patternFill>
    </fill>
    <fill>
      <patternFill patternType="solid">
        <fgColor rgb="00FFFFFF"/>
      </patternFill>
    </fill>
    <fill>
      <patternFill patternType="solid">
        <fgColor rgb="00F7F6F2"/>
      </patternFill>
    </fill>
    <fill>
      <patternFill patternType="solid">
        <fgColor rgb="00E8E9F2"/>
      </patternFill>
    </fill>
    <fill>
      <patternFill patternType="solid">
        <fgColor rgb="00F6E5E5"/>
      </patternFill>
    </fill>
  </fills>
  <borders count="9">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border>
      <top style="thin">
        <color rgb="00191C4A"/>
      </top>
      <bottom style="double">
        <color rgb="00191C4A"/>
      </bottom>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s>
  <cellStyleXfs count="1">
    <xf numFmtId="0" fontId="0" fillId="0" borderId="0"/>
  </cellStyleXfs>
  <cellXfs count="73">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2" borderId="2" applyAlignment="1" pivotButton="0" quotePrefix="0" xfId="0">
      <alignment horizontal="center" vertical="center" wrapText="1"/>
    </xf>
    <xf numFmtId="0" fontId="6" fillId="3" borderId="2" applyAlignment="1" pivotButton="0" quotePrefix="0" xfId="0">
      <alignment horizontal="left" vertical="center" indent="1"/>
    </xf>
    <xf numFmtId="165" fontId="6" fillId="3" borderId="2" applyAlignment="1" pivotButton="0" quotePrefix="0" xfId="0">
      <alignment horizontal="left" vertical="center" indent="1"/>
    </xf>
    <xf numFmtId="166" fontId="6" fillId="3" borderId="2" applyAlignment="1" pivotButton="0" quotePrefix="0" xfId="0">
      <alignment horizontal="right" vertical="center" indent="1"/>
    </xf>
    <xf numFmtId="0" fontId="6" fillId="3" borderId="2" applyAlignment="1" pivotButton="0" quotePrefix="0" xfId="0">
      <alignment horizontal="right" vertical="center"/>
    </xf>
    <xf numFmtId="166" fontId="7" fillId="4" borderId="2" applyAlignment="1" pivotButton="0" quotePrefix="0" xfId="0">
      <alignment horizontal="right" vertical="center" indent="1"/>
    </xf>
    <xf numFmtId="1" fontId="7" fillId="4" borderId="2" applyAlignment="1" pivotButton="0" quotePrefix="0" xfId="0">
      <alignment horizontal="right" vertical="center" indent="1"/>
    </xf>
    <xf numFmtId="167" fontId="6" fillId="3" borderId="2" applyAlignment="1" pivotButton="0" quotePrefix="0" xfId="0">
      <alignment horizontal="left" vertical="center" indent="1"/>
    </xf>
    <xf numFmtId="0" fontId="8" fillId="2" borderId="3" applyAlignment="1" pivotButton="0" quotePrefix="0" xfId="0">
      <alignment vertical="center" indent="1"/>
    </xf>
    <xf numFmtId="0" fontId="0" fillId="2" borderId="3" pivotButton="0" quotePrefix="0" xfId="0"/>
    <xf numFmtId="0" fontId="9" fillId="0" borderId="0" applyAlignment="1" pivotButton="0" quotePrefix="0" xfId="0">
      <alignment vertical="top" wrapText="1" indent="1"/>
    </xf>
    <xf numFmtId="0" fontId="10" fillId="0" borderId="0" applyAlignment="1" pivotButton="0" quotePrefix="0" xfId="0">
      <alignment vertical="top" wrapText="1" indent="1"/>
    </xf>
    <xf numFmtId="0" fontId="11" fillId="0" borderId="0" applyAlignment="1" pivotButton="0" quotePrefix="0" xfId="0">
      <alignment vertical="center" indent="1"/>
    </xf>
    <xf numFmtId="165" fontId="12" fillId="3" borderId="2" applyAlignment="1" pivotButton="0" quotePrefix="0" xfId="0">
      <alignment horizontal="left" vertical="center" indent="1"/>
    </xf>
    <xf numFmtId="0" fontId="10" fillId="0" borderId="0" applyAlignment="1" pivotButton="0" quotePrefix="0" xfId="0">
      <alignment vertical="center" wrapText="1" indent="1"/>
    </xf>
    <xf numFmtId="1" fontId="12" fillId="3" borderId="2" applyAlignment="1" pivotButton="0" quotePrefix="0" xfId="0">
      <alignment horizontal="left" vertical="center" indent="1"/>
    </xf>
    <xf numFmtId="168" fontId="13" fillId="4" borderId="2" applyAlignment="1" pivotButton="0" quotePrefix="0" xfId="0">
      <alignment horizontal="right" vertical="center" indent="1"/>
    </xf>
    <xf numFmtId="2" fontId="12" fillId="3" borderId="2" applyAlignment="1" pivotButton="0" quotePrefix="0" xfId="0">
      <alignment horizontal="left" vertical="center" indent="1"/>
    </xf>
    <xf numFmtId="167" fontId="12" fillId="3" borderId="2" applyAlignment="1" pivotButton="0" quotePrefix="0" xfId="0">
      <alignment horizontal="left" vertical="center" indent="1"/>
    </xf>
    <xf numFmtId="169" fontId="12" fillId="3" borderId="2" applyAlignment="1" pivotButton="0" quotePrefix="0" xfId="0">
      <alignment horizontal="right" vertical="center" indent="1"/>
    </xf>
    <xf numFmtId="166" fontId="12" fillId="3" borderId="2" applyAlignment="1" pivotButton="0" quotePrefix="0" xfId="0">
      <alignment horizontal="right" vertical="center" indent="1"/>
    </xf>
    <xf numFmtId="169" fontId="13" fillId="4" borderId="2" applyAlignment="1" pivotButton="0" quotePrefix="0" xfId="0">
      <alignment horizontal="right" vertical="center" indent="1"/>
    </xf>
    <xf numFmtId="0" fontId="12" fillId="3" borderId="2" applyAlignment="1" pivotButton="0" quotePrefix="0" xfId="0">
      <alignment horizontal="right" vertical="center"/>
    </xf>
    <xf numFmtId="166" fontId="13" fillId="4" borderId="2" applyAlignment="1" pivotButton="0" quotePrefix="0" xfId="0">
      <alignment horizontal="right" vertical="center" indent="1"/>
    </xf>
    <xf numFmtId="0" fontId="12" fillId="3" borderId="2" applyAlignment="1" pivotButton="0" quotePrefix="0" xfId="0">
      <alignment horizontal="right" vertical="center" indent="1"/>
    </xf>
    <xf numFmtId="1" fontId="13" fillId="4" borderId="2" applyAlignment="1" pivotButton="0" quotePrefix="0" xfId="0">
      <alignment horizontal="right" vertical="center" indent="1"/>
    </xf>
    <xf numFmtId="4" fontId="12" fillId="3" borderId="2" applyAlignment="1" pivotButton="0" quotePrefix="0" xfId="0">
      <alignment horizontal="right" vertical="center" indent="1"/>
    </xf>
    <xf numFmtId="0" fontId="14" fillId="0" borderId="0" applyAlignment="1" pivotButton="0" quotePrefix="0" xfId="0">
      <alignment vertical="center" wrapText="1" indent="1"/>
    </xf>
    <xf numFmtId="0" fontId="15" fillId="0" borderId="0" applyAlignment="1" pivotButton="0" quotePrefix="0" xfId="0">
      <alignment vertical="center" wrapText="1" indent="1"/>
    </xf>
    <xf numFmtId="0" fontId="13" fillId="4" borderId="2" applyAlignment="1" pivotButton="0" quotePrefix="0" xfId="0">
      <alignment horizontal="left" vertical="center" indent="1"/>
    </xf>
    <xf numFmtId="0" fontId="17" fillId="0" borderId="0" applyAlignment="1" pivotButton="0" quotePrefix="0" xfId="0">
      <alignment vertical="center" indent="1"/>
    </xf>
    <xf numFmtId="0" fontId="14" fillId="0" borderId="0" applyAlignment="1" pivotButton="0" quotePrefix="0" xfId="0">
      <alignment horizontal="center" vertical="center"/>
    </xf>
    <xf numFmtId="0" fontId="7" fillId="4" borderId="2" applyAlignment="1" pivotButton="0" quotePrefix="0" xfId="0">
      <alignment horizontal="right" vertical="center" indent="1"/>
    </xf>
    <xf numFmtId="4" fontId="6" fillId="3" borderId="2" applyAlignment="1" pivotButton="0" quotePrefix="0" xfId="0">
      <alignment horizontal="right" vertical="center" indent="1"/>
    </xf>
    <xf numFmtId="166" fontId="16" fillId="4" borderId="2" applyAlignment="1" pivotButton="0" quotePrefix="0" xfId="0">
      <alignment horizontal="right" vertical="center" indent="1"/>
    </xf>
    <xf numFmtId="0" fontId="7" fillId="4" borderId="2" applyAlignment="1" pivotButton="0" quotePrefix="0" xfId="0">
      <alignment horizontal="left" vertical="center" indent="1"/>
    </xf>
    <xf numFmtId="0" fontId="17" fillId="5" borderId="4" applyAlignment="1" pivotButton="0" quotePrefix="0" xfId="0">
      <alignment vertical="center" indent="1"/>
    </xf>
    <xf numFmtId="0" fontId="0" fillId="5" borderId="4" pivotButton="0" quotePrefix="0" xfId="0"/>
    <xf numFmtId="166" fontId="18" fillId="5" borderId="4" applyAlignment="1" pivotButton="0" quotePrefix="0" xfId="0">
      <alignment horizontal="right" vertical="center" indent="1"/>
    </xf>
    <xf numFmtId="4" fontId="18" fillId="5" borderId="4" applyAlignment="1" pivotButton="0" quotePrefix="0" xfId="0">
      <alignment horizontal="right" vertical="center" indent="1"/>
    </xf>
    <xf numFmtId="166" fontId="19" fillId="5" borderId="4" applyAlignment="1" pivotButton="0" quotePrefix="0" xfId="0">
      <alignment horizontal="right" vertical="center" indent="1"/>
    </xf>
    <xf numFmtId="0" fontId="20" fillId="0" borderId="0" applyAlignment="1" pivotButton="0" quotePrefix="0" xfId="0">
      <alignment vertical="center" indent="1"/>
    </xf>
    <xf numFmtId="0" fontId="12" fillId="3" borderId="2" applyAlignment="1" pivotButton="0" quotePrefix="0" xfId="0">
      <alignment horizontal="left" vertical="center" indent="1"/>
    </xf>
    <xf numFmtId="0" fontId="15" fillId="0" borderId="0" applyAlignment="1" pivotButton="0" quotePrefix="0" xfId="0">
      <alignment vertical="center" indent="1"/>
    </xf>
    <xf numFmtId="0" fontId="0" fillId="0" borderId="7" pivotButton="0" quotePrefix="0" xfId="0"/>
    <xf numFmtId="0" fontId="0" fillId="0" borderId="8" pivotButton="0" quotePrefix="0" xfId="0"/>
    <xf numFmtId="165" fontId="13" fillId="4" borderId="2" applyAlignment="1" pivotButton="0" quotePrefix="0" xfId="0">
      <alignment horizontal="left" vertical="center" indent="1"/>
    </xf>
    <xf numFmtId="165" fontId="12" fillId="3" borderId="2" applyAlignment="1" pivotButton="0" quotePrefix="0" xfId="0">
      <alignment horizontal="left" vertical="center"/>
    </xf>
    <xf numFmtId="0" fontId="11" fillId="0" borderId="0" applyAlignment="1" pivotButton="0" quotePrefix="0" xfId="0">
      <alignment vertical="center" wrapText="1" indent="1"/>
    </xf>
    <xf numFmtId="4" fontId="13" fillId="4" borderId="2" applyAlignment="1" pivotButton="0" quotePrefix="0" xfId="0">
      <alignment horizontal="right" vertical="center" indent="1"/>
    </xf>
    <xf numFmtId="166" fontId="21" fillId="5" borderId="4" applyAlignment="1" pivotButton="0" quotePrefix="0" xfId="0">
      <alignment horizontal="right" vertical="center" indent="1"/>
    </xf>
    <xf numFmtId="0" fontId="22" fillId="2" borderId="3" applyAlignment="1" pivotButton="0" quotePrefix="0" xfId="0">
      <alignment vertical="center" indent="1"/>
    </xf>
    <xf numFmtId="166" fontId="23" fillId="2" borderId="3" applyAlignment="1" pivotButton="0" quotePrefix="0" xfId="0">
      <alignment horizontal="right" vertical="center" indent="1"/>
    </xf>
    <xf numFmtId="0" fontId="14" fillId="0" borderId="0" applyAlignment="1" pivotButton="0" quotePrefix="0" xfId="0">
      <alignment vertical="center" indent="1"/>
    </xf>
    <xf numFmtId="166" fontId="17" fillId="4" borderId="2" applyAlignment="1" pivotButton="0" quotePrefix="0" xfId="0">
      <alignment horizontal="right" vertical="center" indent="1"/>
    </xf>
    <xf numFmtId="0" fontId="2" fillId="0" borderId="0" applyAlignment="1" pivotButton="0" quotePrefix="0" xfId="0">
      <alignment vertical="center" indent="1"/>
    </xf>
    <xf numFmtId="165" fontId="17" fillId="4" borderId="2" applyAlignment="1" pivotButton="0" quotePrefix="0" xfId="0">
      <alignment horizontal="right" vertical="center" indent="1"/>
    </xf>
    <xf numFmtId="166" fontId="24" fillId="5" borderId="4" applyAlignment="1" pivotButton="0" quotePrefix="0" xfId="0">
      <alignment horizontal="right" vertical="center" indent="1"/>
    </xf>
    <xf numFmtId="0" fontId="11" fillId="0" borderId="0" applyAlignment="1" pivotButton="0" quotePrefix="0" xfId="0">
      <alignment vertical="top" wrapText="1" indent="1"/>
    </xf>
    <xf numFmtId="0" fontId="25" fillId="4" borderId="2" applyAlignment="1" pivotButton="0" quotePrefix="0" xfId="0">
      <alignment vertical="top" wrapText="1" indent="1"/>
    </xf>
    <xf numFmtId="0" fontId="25" fillId="6" borderId="2" applyAlignment="1" pivotButton="0" quotePrefix="0" xfId="0">
      <alignment vertical="top" wrapText="1" indent="1"/>
    </xf>
    <xf numFmtId="0" fontId="25" fillId="0" borderId="0" applyAlignment="1" pivotButton="0" quotePrefix="0" xfId="0">
      <alignment vertical="top" wrapText="1" indent="1"/>
    </xf>
    <xf numFmtId="0" fontId="25" fillId="0" borderId="0" applyAlignment="1" pivotButton="0" quotePrefix="0" xfId="0">
      <alignment vertical="center" indent="1"/>
    </xf>
    <xf numFmtId="0" fontId="26" fillId="0" borderId="0" applyAlignment="1" pivotButton="0" quotePrefix="0" xfId="0">
      <alignment vertical="center" indent="1"/>
    </xf>
    <xf numFmtId="0" fontId="2" fillId="0" borderId="0" applyAlignment="1" pivotButton="0" quotePrefix="0" xfId="0">
      <alignment vertical="center" wrapText="1" indent="1"/>
    </xf>
    <xf numFmtId="0" fontId="25" fillId="0" borderId="0" applyAlignment="1" pivotButton="0" quotePrefix="0" xfId="0">
      <alignment vertical="center" wrapText="1" indent="1"/>
    </xf>
  </cellXfs>
  <cellStyles count="1">
    <cellStyle name="Normal" xfId="0" builtinId="0" hidden="0"/>
  </cellStyles>
  <dxfs count="3">
    <dxf>
      <font>
        <name val="Arial"/>
        <b val="1"/>
        <color rgb="00A32D2D"/>
        <sz val="10"/>
      </font>
      <fill>
        <patternFill patternType="solid">
          <fgColor rgb="00F6E5E5"/>
        </patternFill>
      </fill>
    </dxf>
    <dxf>
      <font>
        <name val="Arial"/>
        <b val="1"/>
        <color rgb="001D9E75"/>
        <sz val="10"/>
      </font>
      <fill>
        <patternFill patternType="solid">
          <fgColor rgb="00E4F3EC"/>
        </patternFill>
      </fill>
    </dxf>
    <dxf>
      <font>
        <name val="Arial"/>
        <b val="1"/>
        <color rgb="00A32D2D"/>
        <sz val="9"/>
      </font>
      <fill>
        <patternFill patternType="solid">
          <fgColor rgb="00F6E5E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W29"/>
  <sheetViews>
    <sheetView showGridLines="0" workbookViewId="0">
      <pane xSplit="2" ySplit="8" topLeftCell="C9" activePane="bottomRight" state="frozen"/>
      <selection pane="topRight"/>
      <selection pane="bottomLeft"/>
      <selection pane="bottomRight" activeCell="A1" sqref="A1"/>
    </sheetView>
  </sheetViews>
  <sheetFormatPr baseColWidth="8" defaultRowHeight="15"/>
  <cols>
    <col width="11" customWidth="1" min="1" max="1"/>
    <col width="22" customWidth="1" min="2" max="2"/>
    <col width="17" customWidth="1" min="3" max="3"/>
    <col width="15" customWidth="1" min="4" max="4"/>
    <col width="12" customWidth="1" min="5" max="5"/>
    <col width="20" customWidth="1" min="6" max="6"/>
    <col width="13" customWidth="1" min="7" max="7"/>
    <col width="12" customWidth="1" min="8" max="8"/>
    <col width="14" customWidth="1" min="9" max="9"/>
    <col width="12" customWidth="1" min="10" max="10"/>
    <col width="10" customWidth="1" min="11" max="11"/>
    <col width="12" customWidth="1" min="12" max="12"/>
    <col width="12" customWidth="1" min="13" max="13"/>
    <col width="6" customWidth="1" min="14" max="14"/>
    <col width="11" customWidth="1" min="15" max="15"/>
    <col width="11" customWidth="1" min="16" max="16"/>
    <col width="13" customWidth="1" min="17" max="17"/>
    <col width="12" customWidth="1" min="18" max="18"/>
    <col width="8" customWidth="1" min="19" max="19"/>
    <col width="15" customWidth="1" min="20" max="20"/>
    <col width="11" customWidth="1" min="21" max="21"/>
    <col width="17" customWidth="1" min="22" max="22"/>
    <col width="18" customWidth="1" min="23" max="23"/>
  </cols>
  <sheetData>
    <row r="1" ht="26" customHeight="1">
      <c r="A1" s="1" t="inlineStr">
        <is>
          <t>EMPLOYEE MASTER</t>
        </is>
      </c>
    </row>
    <row r="2" ht="14" customHeight="1">
      <c r="A2" s="2" t="inlineStr">
        <is>
          <t>Template B9 | One line per employee. Everything else in this workbook reads from here.</t>
        </is>
      </c>
    </row>
    <row r="3" ht="4" customHeight="1">
      <c r="A3" s="3" t="n"/>
      <c r="B3" s="3" t="n"/>
      <c r="C3" s="3" t="n"/>
      <c r="D3" s="3" t="n"/>
      <c r="E3" s="3" t="n"/>
      <c r="F3" s="3" t="n"/>
      <c r="G3" s="3" t="n"/>
      <c r="H3" s="3" t="n"/>
      <c r="I3" s="3" t="n"/>
      <c r="J3" s="3" t="n"/>
      <c r="K3" s="3" t="n"/>
      <c r="L3" s="3" t="n"/>
      <c r="M3" s="3" t="n"/>
      <c r="N3" s="3" t="n"/>
      <c r="O3" s="3" t="n"/>
      <c r="P3" s="3" t="n"/>
      <c r="Q3" s="3" t="n"/>
      <c r="R3" s="3" t="n"/>
      <c r="S3" s="3" t="n"/>
      <c r="T3" s="3" t="n"/>
      <c r="U3" s="3" t="n"/>
      <c r="V3" s="3" t="n"/>
      <c r="W3" s="3" t="n"/>
    </row>
    <row r="4" ht="15" customHeight="1">
      <c r="A4" s="4" t="inlineStr">
        <is>
          <t>[YOUR COMPANY NAME]</t>
        </is>
      </c>
      <c r="V4" s="5" t="inlineStr">
        <is>
          <t>[ Insert your logo in the space above ]</t>
        </is>
      </c>
    </row>
    <row r="5" ht="15" customHeight="1">
      <c r="A5" s="6" t="inlineStr">
        <is>
          <t>Reg No: [XXXX/XXXXXX/XX]</t>
        </is>
      </c>
      <c r="V5" s="5" t="inlineStr">
        <is>
          <t>VAT No: [4XXXXXXXXX] (if VAT registered)</t>
        </is>
      </c>
    </row>
    <row r="6" ht="15" customHeight="1">
      <c r="A6" s="6" t="inlineStr">
        <is>
          <t>[email@yourbusiness.co.za]</t>
        </is>
      </c>
      <c r="V6" s="5" t="inlineStr">
        <is>
          <t>[+27 XX XXX XXXX]</t>
        </is>
      </c>
    </row>
    <row r="8" ht="26" customHeight="1">
      <c r="A8" s="7" t="inlineStr">
        <is>
          <t>EMPLOYEE NUMBER</t>
        </is>
      </c>
      <c r="B8" s="7" t="inlineStr">
        <is>
          <t>FULL NAME</t>
        </is>
      </c>
      <c r="C8" s="7" t="inlineStr">
        <is>
          <t>IDENTITY OR PASSPORT NUMBER</t>
        </is>
      </c>
      <c r="D8" s="7" t="inlineStr">
        <is>
          <t>TAX REFERENCE NUMBER</t>
        </is>
      </c>
      <c r="E8" s="7" t="inlineStr">
        <is>
          <t>START DATE</t>
        </is>
      </c>
      <c r="F8" s="7" t="inlineStr">
        <is>
          <t>JOB TITLE</t>
        </is>
      </c>
      <c r="G8" s="7" t="inlineStr">
        <is>
          <t>PERMANENT OR FIXED TERM</t>
        </is>
      </c>
      <c r="H8" s="7" t="inlineStr">
        <is>
          <t>PAY FREQUENCY</t>
        </is>
      </c>
      <c r="I8" s="7" t="inlineStr">
        <is>
          <t>BASIC SALARY A MONTH</t>
        </is>
      </c>
      <c r="J8" s="7" t="inlineStr">
        <is>
          <t>RATE AN HOUR IF PAID BY THE HOUR</t>
        </is>
      </c>
      <c r="K8" s="7" t="inlineStr">
        <is>
          <t>ORDINARY HOURS A WEEK</t>
        </is>
      </c>
      <c r="L8" s="7" t="inlineStr">
        <is>
          <t>RATE AN HOUR WORKED OUT</t>
        </is>
      </c>
      <c r="M8" s="7" t="inlineStr">
        <is>
          <t>DATE OF BIRTH</t>
        </is>
      </c>
      <c r="N8" s="7" t="inlineStr">
        <is>
          <t>AGE</t>
        </is>
      </c>
      <c r="O8" s="7" t="inlineStr">
        <is>
          <t>MEDICAL AID MAIN MEMBER</t>
        </is>
      </c>
      <c r="P8" s="7" t="inlineStr">
        <is>
          <t>NUMBER OF DEPENDANTS</t>
        </is>
      </c>
      <c r="Q8" s="7" t="inlineStr">
        <is>
          <t>MEDICAL TAX CREDIT A MONTH</t>
        </is>
      </c>
      <c r="R8" s="7" t="inlineStr">
        <is>
          <t>PENSION PERCENT OF BASIC PAY</t>
        </is>
      </c>
      <c r="S8" s="7" t="inlineStr">
        <is>
          <t>UIF APPLIES</t>
        </is>
      </c>
      <c r="T8" s="7" t="inlineStr">
        <is>
          <t>BANK</t>
        </is>
      </c>
      <c r="U8" s="7" t="inlineStr">
        <is>
          <t>BRANCH CODE</t>
        </is>
      </c>
      <c r="V8" s="7" t="inlineStr">
        <is>
          <t>ACCOUNT NUMBER</t>
        </is>
      </c>
      <c r="W8" s="7" t="inlineStr">
        <is>
          <t>ACCOUNT TYPE</t>
        </is>
      </c>
    </row>
    <row r="9" ht="19" customHeight="1">
      <c r="A9" s="8" t="inlineStr">
        <is>
          <t>EMP001</t>
        </is>
      </c>
      <c r="B9" s="8" t="inlineStr">
        <is>
          <t>Nomsa Dlamini</t>
        </is>
      </c>
      <c r="C9" s="8" t="inlineStr">
        <is>
          <t>9203155*****</t>
        </is>
      </c>
      <c r="D9" s="8" t="inlineStr">
        <is>
          <t>0123456789</t>
        </is>
      </c>
      <c r="E9" s="9" t="n">
        <v>44986</v>
      </c>
      <c r="F9" s="8" t="inlineStr">
        <is>
          <t>General assistant</t>
        </is>
      </c>
      <c r="G9" s="8" t="inlineStr">
        <is>
          <t>Permanent</t>
        </is>
      </c>
      <c r="H9" s="8" t="inlineStr">
        <is>
          <t>Monthly</t>
        </is>
      </c>
      <c r="I9" s="10" t="n">
        <v>7500</v>
      </c>
      <c r="J9" s="10" t="n"/>
      <c r="K9" s="11" t="n">
        <v>45</v>
      </c>
      <c r="L9" s="12">
        <f>IF(A9="","",IF(H9="Hourly",J9,IF(N(K9)=0,"",ROUND(N(I9)/WEEKS_MONTH/K9,2))))</f>
        <v/>
      </c>
      <c r="M9" s="9" t="n">
        <v>33678</v>
      </c>
      <c r="N9" s="13">
        <f>IF(M9="","",DATEDIF(M9,TAX_YEAR_END,"Y"))</f>
        <v/>
      </c>
      <c r="O9" s="8" t="inlineStr">
        <is>
          <t>No</t>
        </is>
      </c>
      <c r="P9" s="11" t="n">
        <v>0</v>
      </c>
      <c r="Q9" s="12">
        <f>IF(A9="","",IF(O9&lt;&gt;"Yes",0,MED_MAIN+IF(N(P9)&gt;=1,MED_FIRST,0)+MAX(0,N(P9)-1)*MED_EXTRA))</f>
        <v/>
      </c>
      <c r="R9" s="14" t="n">
        <v>0</v>
      </c>
      <c r="S9" s="8" t="inlineStr">
        <is>
          <t>Yes</t>
        </is>
      </c>
      <c r="T9" s="8" t="inlineStr">
        <is>
          <t>Capitec</t>
        </is>
      </c>
      <c r="U9" s="8" t="inlineStr">
        <is>
          <t>470010</t>
        </is>
      </c>
      <c r="V9" s="8" t="inlineStr">
        <is>
          <t>1234567890</t>
        </is>
      </c>
      <c r="W9" s="8" t="inlineStr">
        <is>
          <t>Savings</t>
        </is>
      </c>
    </row>
    <row r="10" ht="19" customHeight="1">
      <c r="A10" s="8" t="inlineStr">
        <is>
          <t>EMP002</t>
        </is>
      </c>
      <c r="B10" s="8" t="inlineStr">
        <is>
          <t>Sipho Mahlangu</t>
        </is>
      </c>
      <c r="C10" s="8" t="inlineStr">
        <is>
          <t>0004205*****</t>
        </is>
      </c>
      <c r="D10" s="8" t="inlineStr">
        <is>
          <t>0234567891</t>
        </is>
      </c>
      <c r="E10" s="9" t="n">
        <v>45444</v>
      </c>
      <c r="F10" s="8" t="inlineStr">
        <is>
          <t>Junior technician</t>
        </is>
      </c>
      <c r="G10" s="8" t="inlineStr">
        <is>
          <t>Permanent</t>
        </is>
      </c>
      <c r="H10" s="8" t="inlineStr">
        <is>
          <t>Monthly</t>
        </is>
      </c>
      <c r="I10" s="10" t="n">
        <v>14000</v>
      </c>
      <c r="J10" s="10" t="n"/>
      <c r="K10" s="11" t="n">
        <v>45</v>
      </c>
      <c r="L10" s="12">
        <f>IF(A10="","",IF(H10="Hourly",J10,IF(N(K10)=0,"",ROUND(N(I10)/WEEKS_MONTH/K10,2))))</f>
        <v/>
      </c>
      <c r="M10" s="9" t="n">
        <v>36636</v>
      </c>
      <c r="N10" s="13">
        <f>IF(M10="","",DATEDIF(M10,TAX_YEAR_END,"Y"))</f>
        <v/>
      </c>
      <c r="O10" s="8" t="inlineStr">
        <is>
          <t>No</t>
        </is>
      </c>
      <c r="P10" s="11" t="n">
        <v>0</v>
      </c>
      <c r="Q10" s="12">
        <f>IF(A10="","",IF(O10&lt;&gt;"Yes",0,MED_MAIN+IF(N(P10)&gt;=1,MED_FIRST,0)+MAX(0,N(P10)-1)*MED_EXTRA))</f>
        <v/>
      </c>
      <c r="R10" s="14" t="n">
        <v>0</v>
      </c>
      <c r="S10" s="8" t="inlineStr">
        <is>
          <t>Yes</t>
        </is>
      </c>
      <c r="T10" s="8" t="inlineStr">
        <is>
          <t>FNB</t>
        </is>
      </c>
      <c r="U10" s="8" t="inlineStr">
        <is>
          <t>250655</t>
        </is>
      </c>
      <c r="V10" s="8" t="inlineStr">
        <is>
          <t>6234567891</t>
        </is>
      </c>
      <c r="W10" s="8" t="inlineStr">
        <is>
          <t>Cheque or current</t>
        </is>
      </c>
    </row>
    <row r="11" ht="19" customHeight="1">
      <c r="A11" s="8" t="inlineStr">
        <is>
          <t>EMP003</t>
        </is>
      </c>
      <c r="B11" s="8" t="inlineStr">
        <is>
          <t>Thandiwe Ngcobo</t>
        </is>
      </c>
      <c r="C11" s="8" t="inlineStr">
        <is>
          <t>8508125*****</t>
        </is>
      </c>
      <c r="D11" s="8" t="inlineStr">
        <is>
          <t>0345678912</t>
        </is>
      </c>
      <c r="E11" s="9" t="n">
        <v>43845</v>
      </c>
      <c r="F11" s="8" t="inlineStr">
        <is>
          <t>Office manager</t>
        </is>
      </c>
      <c r="G11" s="8" t="inlineStr">
        <is>
          <t>Permanent</t>
        </is>
      </c>
      <c r="H11" s="8" t="inlineStr">
        <is>
          <t>Monthly</t>
        </is>
      </c>
      <c r="I11" s="10" t="n">
        <v>32000</v>
      </c>
      <c r="J11" s="10" t="n"/>
      <c r="K11" s="11" t="n">
        <v>45</v>
      </c>
      <c r="L11" s="12">
        <f>IF(A11="","",IF(H11="Hourly",J11,IF(N(K11)=0,"",ROUND(N(I11)/WEEKS_MONTH/K11,2))))</f>
        <v/>
      </c>
      <c r="M11" s="9" t="n">
        <v>31271</v>
      </c>
      <c r="N11" s="13">
        <f>IF(M11="","",DATEDIF(M11,TAX_YEAR_END,"Y"))</f>
        <v/>
      </c>
      <c r="O11" s="8" t="inlineStr">
        <is>
          <t>Yes</t>
        </is>
      </c>
      <c r="P11" s="11" t="n">
        <v>2</v>
      </c>
      <c r="Q11" s="12">
        <f>IF(A11="","",IF(O11&lt;&gt;"Yes",0,MED_MAIN+IF(N(P11)&gt;=1,MED_FIRST,0)+MAX(0,N(P11)-1)*MED_EXTRA))</f>
        <v/>
      </c>
      <c r="R11" s="14" t="n">
        <v>0.075</v>
      </c>
      <c r="S11" s="8" t="inlineStr">
        <is>
          <t>Yes</t>
        </is>
      </c>
      <c r="T11" s="8" t="inlineStr">
        <is>
          <t>Standard Bank</t>
        </is>
      </c>
      <c r="U11" s="8" t="inlineStr">
        <is>
          <t>051001</t>
        </is>
      </c>
      <c r="V11" s="8" t="inlineStr">
        <is>
          <t>0234567892</t>
        </is>
      </c>
      <c r="W11" s="8" t="inlineStr">
        <is>
          <t>Cheque or current</t>
        </is>
      </c>
    </row>
    <row r="12" ht="19" customHeight="1">
      <c r="A12" s="8" t="inlineStr">
        <is>
          <t>EMP004</t>
        </is>
      </c>
      <c r="B12" s="8" t="inlineStr">
        <is>
          <t>Johannes Pretorius</t>
        </is>
      </c>
      <c r="C12" s="8" t="inlineStr">
        <is>
          <t>5906105*****</t>
        </is>
      </c>
      <c r="D12" s="8" t="inlineStr">
        <is>
          <t>0456789123</t>
        </is>
      </c>
      <c r="E12" s="9" t="n">
        <v>42036</v>
      </c>
      <c r="F12" s="8" t="inlineStr">
        <is>
          <t>Workshop supervisor</t>
        </is>
      </c>
      <c r="G12" s="8" t="inlineStr">
        <is>
          <t>Permanent</t>
        </is>
      </c>
      <c r="H12" s="8" t="inlineStr">
        <is>
          <t>Monthly</t>
        </is>
      </c>
      <c r="I12" s="10" t="n">
        <v>21000</v>
      </c>
      <c r="J12" s="10" t="n"/>
      <c r="K12" s="11" t="n">
        <v>45</v>
      </c>
      <c r="L12" s="12">
        <f>IF(A12="","",IF(H12="Hourly",J12,IF(N(K12)=0,"",ROUND(N(I12)/WEEKS_MONTH/K12,2))))</f>
        <v/>
      </c>
      <c r="M12" s="9" t="n">
        <v>21711</v>
      </c>
      <c r="N12" s="13">
        <f>IF(M12="","",DATEDIF(M12,TAX_YEAR_END,"Y"))</f>
        <v/>
      </c>
      <c r="O12" s="8" t="inlineStr">
        <is>
          <t>No</t>
        </is>
      </c>
      <c r="P12" s="11" t="n">
        <v>0</v>
      </c>
      <c r="Q12" s="12">
        <f>IF(A12="","",IF(O12&lt;&gt;"Yes",0,MED_MAIN+IF(N(P12)&gt;=1,MED_FIRST,0)+MAX(0,N(P12)-1)*MED_EXTRA))</f>
        <v/>
      </c>
      <c r="R12" s="14" t="n">
        <v>0</v>
      </c>
      <c r="S12" s="8" t="inlineStr">
        <is>
          <t>Yes</t>
        </is>
      </c>
      <c r="T12" s="8" t="inlineStr">
        <is>
          <t>Absa</t>
        </is>
      </c>
      <c r="U12" s="8" t="inlineStr">
        <is>
          <t>632005</t>
        </is>
      </c>
      <c r="V12" s="8" t="inlineStr">
        <is>
          <t>4234567893</t>
        </is>
      </c>
      <c r="W12" s="8" t="inlineStr">
        <is>
          <t>Cheque or current</t>
        </is>
      </c>
    </row>
    <row r="13" ht="19" customHeight="1">
      <c r="A13" s="8" t="inlineStr">
        <is>
          <t>EMP005</t>
        </is>
      </c>
      <c r="B13" s="8" t="inlineStr">
        <is>
          <t>Lerato Mokoena</t>
        </is>
      </c>
      <c r="C13" s="8" t="inlineStr">
        <is>
          <t>0401045*****</t>
        </is>
      </c>
      <c r="D13" s="8" t="inlineStr">
        <is>
          <t>0567891234</t>
        </is>
      </c>
      <c r="E13" s="9" t="n">
        <v>46054</v>
      </c>
      <c r="F13" s="8" t="inlineStr">
        <is>
          <t>Apprentice</t>
        </is>
      </c>
      <c r="G13" s="8" t="inlineStr">
        <is>
          <t>Fixed term</t>
        </is>
      </c>
      <c r="H13" s="8" t="inlineStr">
        <is>
          <t>Monthly</t>
        </is>
      </c>
      <c r="I13" s="10" t="n">
        <v>6000</v>
      </c>
      <c r="J13" s="10" t="n"/>
      <c r="K13" s="11" t="n">
        <v>45</v>
      </c>
      <c r="L13" s="12">
        <f>IF(A13="","",IF(H13="Hourly",J13,IF(N(K13)=0,"",ROUND(N(I13)/WEEKS_MONTH/K13,2))))</f>
        <v/>
      </c>
      <c r="M13" s="9" t="n">
        <v>37990</v>
      </c>
      <c r="N13" s="13">
        <f>IF(M13="","",DATEDIF(M13,TAX_YEAR_END,"Y"))</f>
        <v/>
      </c>
      <c r="O13" s="8" t="inlineStr">
        <is>
          <t>No</t>
        </is>
      </c>
      <c r="P13" s="11" t="n">
        <v>0</v>
      </c>
      <c r="Q13" s="12">
        <f>IF(A13="","",IF(O13&lt;&gt;"Yes",0,MED_MAIN+IF(N(P13)&gt;=1,MED_FIRST,0)+MAX(0,N(P13)-1)*MED_EXTRA))</f>
        <v/>
      </c>
      <c r="R13" s="14" t="n">
        <v>0</v>
      </c>
      <c r="S13" s="8" t="inlineStr">
        <is>
          <t>Yes</t>
        </is>
      </c>
      <c r="T13" s="8" t="inlineStr">
        <is>
          <t>TymeBank</t>
        </is>
      </c>
      <c r="U13" s="8" t="inlineStr">
        <is>
          <t>678910</t>
        </is>
      </c>
      <c r="V13" s="8" t="inlineStr">
        <is>
          <t>5234567894</t>
        </is>
      </c>
      <c r="W13" s="8" t="inlineStr">
        <is>
          <t>Savings</t>
        </is>
      </c>
    </row>
    <row r="14" ht="19" customHeight="1">
      <c r="A14" s="8" t="inlineStr">
        <is>
          <t>EMP006</t>
        </is>
      </c>
      <c r="B14" s="8" t="inlineStr">
        <is>
          <t>Ridwaan Peters</t>
        </is>
      </c>
      <c r="C14" s="8" t="inlineStr">
        <is>
          <t>8711095*****</t>
        </is>
      </c>
      <c r="D14" s="8" t="inlineStr">
        <is>
          <t>0678912345</t>
        </is>
      </c>
      <c r="E14" s="9" t="n">
        <v>44440</v>
      </c>
      <c r="F14" s="8" t="inlineStr">
        <is>
          <t>Sales consultant</t>
        </is>
      </c>
      <c r="G14" s="8" t="inlineStr">
        <is>
          <t>Permanent</t>
        </is>
      </c>
      <c r="H14" s="8" t="inlineStr">
        <is>
          <t>Monthly</t>
        </is>
      </c>
      <c r="I14" s="10" t="n">
        <v>46000</v>
      </c>
      <c r="J14" s="10" t="n"/>
      <c r="K14" s="11" t="n">
        <v>45</v>
      </c>
      <c r="L14" s="12">
        <f>IF(A14="","",IF(H14="Hourly",J14,IF(N(K14)=0,"",ROUND(N(I14)/WEEKS_MONTH/K14,2))))</f>
        <v/>
      </c>
      <c r="M14" s="9" t="n">
        <v>32090</v>
      </c>
      <c r="N14" s="13">
        <f>IF(M14="","",DATEDIF(M14,TAX_YEAR_END,"Y"))</f>
        <v/>
      </c>
      <c r="O14" s="8" t="inlineStr">
        <is>
          <t>Yes</t>
        </is>
      </c>
      <c r="P14" s="11" t="n">
        <v>1</v>
      </c>
      <c r="Q14" s="12">
        <f>IF(A14="","",IF(O14&lt;&gt;"Yes",0,MED_MAIN+IF(N(P14)&gt;=1,MED_FIRST,0)+MAX(0,N(P14)-1)*MED_EXTRA))</f>
        <v/>
      </c>
      <c r="R14" s="14" t="n">
        <v>0.05</v>
      </c>
      <c r="S14" s="8" t="inlineStr">
        <is>
          <t>Yes</t>
        </is>
      </c>
      <c r="T14" s="8" t="inlineStr">
        <is>
          <t>Nedbank</t>
        </is>
      </c>
      <c r="U14" s="8" t="inlineStr">
        <is>
          <t>198765</t>
        </is>
      </c>
      <c r="V14" s="8" t="inlineStr">
        <is>
          <t>1934567895</t>
        </is>
      </c>
      <c r="W14" s="8" t="inlineStr">
        <is>
          <t>Cheque or current</t>
        </is>
      </c>
    </row>
    <row r="15" ht="19" customHeight="1">
      <c r="A15" s="8" t="n"/>
      <c r="B15" s="8" t="n"/>
      <c r="C15" s="8" t="n"/>
      <c r="D15" s="8" t="n"/>
      <c r="E15" s="9" t="n"/>
      <c r="F15" s="8" t="n"/>
      <c r="G15" s="8" t="n"/>
      <c r="H15" s="8" t="n"/>
      <c r="I15" s="10" t="n"/>
      <c r="J15" s="10" t="n"/>
      <c r="K15" s="8" t="n"/>
      <c r="L15" s="12">
        <f>IF(A15="","",IF(H15="Hourly",J15,IF(N(K15)=0,"",ROUND(N(I15)/WEEKS_MONTH/K15,2))))</f>
        <v/>
      </c>
      <c r="M15" s="9" t="n"/>
      <c r="N15" s="13">
        <f>IF(M15="","",DATEDIF(M15,TAX_YEAR_END,"Y"))</f>
        <v/>
      </c>
      <c r="O15" s="8" t="n"/>
      <c r="P15" s="8" t="n"/>
      <c r="Q15" s="12">
        <f>IF(A15="","",IF(O15&lt;&gt;"Yes",0,MED_MAIN+IF(N(P15)&gt;=1,MED_FIRST,0)+MAX(0,N(P15)-1)*MED_EXTRA))</f>
        <v/>
      </c>
      <c r="R15" s="14" t="n"/>
      <c r="S15" s="8" t="n"/>
      <c r="T15" s="8" t="n"/>
      <c r="U15" s="8" t="n"/>
      <c r="V15" s="8" t="n"/>
      <c r="W15" s="8" t="n"/>
    </row>
    <row r="16" ht="19" customHeight="1">
      <c r="A16" s="8" t="n"/>
      <c r="B16" s="8" t="n"/>
      <c r="C16" s="8" t="n"/>
      <c r="D16" s="8" t="n"/>
      <c r="E16" s="9" t="n"/>
      <c r="F16" s="8" t="n"/>
      <c r="G16" s="8" t="n"/>
      <c r="H16" s="8" t="n"/>
      <c r="I16" s="10" t="n"/>
      <c r="J16" s="10" t="n"/>
      <c r="K16" s="8" t="n"/>
      <c r="L16" s="12">
        <f>IF(A16="","",IF(H16="Hourly",J16,IF(N(K16)=0,"",ROUND(N(I16)/WEEKS_MONTH/K16,2))))</f>
        <v/>
      </c>
      <c r="M16" s="9" t="n"/>
      <c r="N16" s="13">
        <f>IF(M16="","",DATEDIF(M16,TAX_YEAR_END,"Y"))</f>
        <v/>
      </c>
      <c r="O16" s="8" t="n"/>
      <c r="P16" s="8" t="n"/>
      <c r="Q16" s="12">
        <f>IF(A16="","",IF(O16&lt;&gt;"Yes",0,MED_MAIN+IF(N(P16)&gt;=1,MED_FIRST,0)+MAX(0,N(P16)-1)*MED_EXTRA))</f>
        <v/>
      </c>
      <c r="R16" s="14" t="n"/>
      <c r="S16" s="8" t="n"/>
      <c r="T16" s="8" t="n"/>
      <c r="U16" s="8" t="n"/>
      <c r="V16" s="8" t="n"/>
      <c r="W16" s="8" t="n"/>
    </row>
    <row r="17" ht="19" customHeight="1">
      <c r="A17" s="8" t="n"/>
      <c r="B17" s="8" t="n"/>
      <c r="C17" s="8" t="n"/>
      <c r="D17" s="8" t="n"/>
      <c r="E17" s="9" t="n"/>
      <c r="F17" s="8" t="n"/>
      <c r="G17" s="8" t="n"/>
      <c r="H17" s="8" t="n"/>
      <c r="I17" s="10" t="n"/>
      <c r="J17" s="10" t="n"/>
      <c r="K17" s="8" t="n"/>
      <c r="L17" s="12">
        <f>IF(A17="","",IF(H17="Hourly",J17,IF(N(K17)=0,"",ROUND(N(I17)/WEEKS_MONTH/K17,2))))</f>
        <v/>
      </c>
      <c r="M17" s="9" t="n"/>
      <c r="N17" s="13">
        <f>IF(M17="","",DATEDIF(M17,TAX_YEAR_END,"Y"))</f>
        <v/>
      </c>
      <c r="O17" s="8" t="n"/>
      <c r="P17" s="8" t="n"/>
      <c r="Q17" s="12">
        <f>IF(A17="","",IF(O17&lt;&gt;"Yes",0,MED_MAIN+IF(N(P17)&gt;=1,MED_FIRST,0)+MAX(0,N(P17)-1)*MED_EXTRA))</f>
        <v/>
      </c>
      <c r="R17" s="14" t="n"/>
      <c r="S17" s="8" t="n"/>
      <c r="T17" s="8" t="n"/>
      <c r="U17" s="8" t="n"/>
      <c r="V17" s="8" t="n"/>
      <c r="W17" s="8" t="n"/>
    </row>
    <row r="18" ht="19" customHeight="1">
      <c r="A18" s="8" t="n"/>
      <c r="B18" s="8" t="n"/>
      <c r="C18" s="8" t="n"/>
      <c r="D18" s="8" t="n"/>
      <c r="E18" s="9" t="n"/>
      <c r="F18" s="8" t="n"/>
      <c r="G18" s="8" t="n"/>
      <c r="H18" s="8" t="n"/>
      <c r="I18" s="10" t="n"/>
      <c r="J18" s="10" t="n"/>
      <c r="K18" s="8" t="n"/>
      <c r="L18" s="12">
        <f>IF(A18="","",IF(H18="Hourly",J18,IF(N(K18)=0,"",ROUND(N(I18)/WEEKS_MONTH/K18,2))))</f>
        <v/>
      </c>
      <c r="M18" s="9" t="n"/>
      <c r="N18" s="13">
        <f>IF(M18="","",DATEDIF(M18,TAX_YEAR_END,"Y"))</f>
        <v/>
      </c>
      <c r="O18" s="8" t="n"/>
      <c r="P18" s="8" t="n"/>
      <c r="Q18" s="12">
        <f>IF(A18="","",IF(O18&lt;&gt;"Yes",0,MED_MAIN+IF(N(P18)&gt;=1,MED_FIRST,0)+MAX(0,N(P18)-1)*MED_EXTRA))</f>
        <v/>
      </c>
      <c r="R18" s="14" t="n"/>
      <c r="S18" s="8" t="n"/>
      <c r="T18" s="8" t="n"/>
      <c r="U18" s="8" t="n"/>
      <c r="V18" s="8" t="n"/>
      <c r="W18" s="8" t="n"/>
    </row>
    <row r="19" ht="19" customHeight="1">
      <c r="A19" s="8" t="n"/>
      <c r="B19" s="8" t="n"/>
      <c r="C19" s="8" t="n"/>
      <c r="D19" s="8" t="n"/>
      <c r="E19" s="9" t="n"/>
      <c r="F19" s="8" t="n"/>
      <c r="G19" s="8" t="n"/>
      <c r="H19" s="8" t="n"/>
      <c r="I19" s="10" t="n"/>
      <c r="J19" s="10" t="n"/>
      <c r="K19" s="8" t="n"/>
      <c r="L19" s="12">
        <f>IF(A19="","",IF(H19="Hourly",J19,IF(N(K19)=0,"",ROUND(N(I19)/WEEKS_MONTH/K19,2))))</f>
        <v/>
      </c>
      <c r="M19" s="9" t="n"/>
      <c r="N19" s="13">
        <f>IF(M19="","",DATEDIF(M19,TAX_YEAR_END,"Y"))</f>
        <v/>
      </c>
      <c r="O19" s="8" t="n"/>
      <c r="P19" s="8" t="n"/>
      <c r="Q19" s="12">
        <f>IF(A19="","",IF(O19&lt;&gt;"Yes",0,MED_MAIN+IF(N(P19)&gt;=1,MED_FIRST,0)+MAX(0,N(P19)-1)*MED_EXTRA))</f>
        <v/>
      </c>
      <c r="R19" s="14" t="n"/>
      <c r="S19" s="8" t="n"/>
      <c r="T19" s="8" t="n"/>
      <c r="U19" s="8" t="n"/>
      <c r="V19" s="8" t="n"/>
      <c r="W19" s="8" t="n"/>
    </row>
    <row r="20" ht="19" customHeight="1">
      <c r="A20" s="8" t="n"/>
      <c r="B20" s="8" t="n"/>
      <c r="C20" s="8" t="n"/>
      <c r="D20" s="8" t="n"/>
      <c r="E20" s="9" t="n"/>
      <c r="F20" s="8" t="n"/>
      <c r="G20" s="8" t="n"/>
      <c r="H20" s="8" t="n"/>
      <c r="I20" s="10" t="n"/>
      <c r="J20" s="10" t="n"/>
      <c r="K20" s="8" t="n"/>
      <c r="L20" s="12">
        <f>IF(A20="","",IF(H20="Hourly",J20,IF(N(K20)=0,"",ROUND(N(I20)/WEEKS_MONTH/K20,2))))</f>
        <v/>
      </c>
      <c r="M20" s="9" t="n"/>
      <c r="N20" s="13">
        <f>IF(M20="","",DATEDIF(M20,TAX_YEAR_END,"Y"))</f>
        <v/>
      </c>
      <c r="O20" s="8" t="n"/>
      <c r="P20" s="8" t="n"/>
      <c r="Q20" s="12">
        <f>IF(A20="","",IF(O20&lt;&gt;"Yes",0,MED_MAIN+IF(N(P20)&gt;=1,MED_FIRST,0)+MAX(0,N(P20)-1)*MED_EXTRA))</f>
        <v/>
      </c>
      <c r="R20" s="14" t="n"/>
      <c r="S20" s="8" t="n"/>
      <c r="T20" s="8" t="n"/>
      <c r="U20" s="8" t="n"/>
      <c r="V20" s="8" t="n"/>
      <c r="W20" s="8" t="n"/>
    </row>
    <row r="22" ht="22" customHeight="1">
      <c r="A22" s="15" t="inlineStr">
        <is>
          <t>BEFORE YOU RUN THE FIRST PAYROLL</t>
        </is>
      </c>
      <c r="B22" s="16" t="n"/>
      <c r="C22" s="16" t="n"/>
      <c r="D22" s="16" t="n"/>
      <c r="E22" s="16" t="n"/>
      <c r="F22" s="16" t="n"/>
      <c r="G22" s="16" t="n"/>
      <c r="H22" s="16" t="n"/>
      <c r="I22" s="16" t="n"/>
      <c r="J22" s="16" t="n"/>
      <c r="K22" s="16" t="n"/>
      <c r="L22" s="16" t="n"/>
      <c r="M22" s="16" t="n"/>
      <c r="N22" s="16" t="n"/>
      <c r="O22" s="16" t="n"/>
      <c r="P22" s="16" t="n"/>
      <c r="Q22" s="16" t="n"/>
      <c r="R22" s="16" t="n"/>
      <c r="S22" s="16" t="n"/>
      <c r="T22" s="16" t="n"/>
      <c r="U22" s="16" t="n"/>
      <c r="V22" s="16" t="n"/>
      <c r="W22" s="16" t="n"/>
    </row>
    <row r="23" ht="30" customHeight="1">
      <c r="A23" s="17" t="inlineStr">
        <is>
          <t>Important: You need a valid identity number or passport number and an income tax reference number for every employee. Without both, the EMP501 reconciliation will not balance and SARS cannot issue the IRP5 tax certificate, which means the employee cannot file their own tax return. Collect them before the first payslip, not at the end of the year.</t>
        </is>
      </c>
    </row>
    <row r="24" ht="18" customHeight="1">
      <c r="A24" s="18" t="inlineStr">
        <is>
          <t>Note: An employee who has no tax reference number can be registered by you through SARS eFiling. Do it in the first month.</t>
        </is>
      </c>
    </row>
    <row r="25" ht="18" customHeight="1">
      <c r="A25" s="18" t="inlineStr">
        <is>
          <t>Note: The rate an hour is worked out the way section 35 of the BCEA says: the monthly wage divided by four and one third to get the weekly wage, then divided by the ordinary hours a week. That is the rate the National Minimum Wage is tested against and the rate overtime is built on.</t>
        </is>
      </c>
    </row>
    <row r="26" ht="18" customHeight="1">
      <c r="A26" s="18" t="inlineStr">
        <is>
          <t>Note: Pension or provident is entered as a percentage of basic pay, for example 7.5%. This is the employee's own contribution. If the business also contributes, that employer contribution is a taxable fringe benefit and goes in the fringe benefits column of the register.</t>
        </is>
      </c>
    </row>
    <row r="27" ht="18" customHeight="1">
      <c r="A27" s="18" t="inlineStr">
        <is>
          <t>Note: Whatever the pay cycle, this register works one full calendar month at a time, because that is what the EMP201 needs. For weekly or fortnightly paid staff, enter the total for the month.</t>
        </is>
      </c>
    </row>
    <row r="28" ht="18" customHeight="1">
      <c r="A28" s="18" t="inlineStr">
        <is>
          <t>Note: Identity numbers in the sample rows are masked on purpose. Replace them with the real 13 digit numbers.</t>
        </is>
      </c>
    </row>
    <row r="29" ht="18" customHeight="1">
      <c r="A29" s="18" t="inlineStr">
        <is>
          <t>Note: How to use this sheet: type only in the white cells, which show in blue text. The shaded cells work themselves out, so leave them alone. Notes in grey italic are guidance and can be deleted before you send the document.</t>
        </is>
      </c>
    </row>
  </sheetData>
  <mergeCells count="13">
    <mergeCell ref="V4:W4"/>
    <mergeCell ref="A1:W1"/>
    <mergeCell ref="V6:W6"/>
    <mergeCell ref="A23:W23"/>
    <mergeCell ref="A27:W27"/>
    <mergeCell ref="A22:W22"/>
    <mergeCell ref="A26:W26"/>
    <mergeCell ref="V5:W5"/>
    <mergeCell ref="A29:W29"/>
    <mergeCell ref="A25:W25"/>
    <mergeCell ref="A24:W24"/>
    <mergeCell ref="A2:W2"/>
    <mergeCell ref="A28:W28"/>
  </mergeCells>
  <dataValidations count="5">
    <dataValidation sqref="G9:G20" showDropDown="0" showInputMessage="0" showErrorMessage="1" allowBlank="1" errorTitle="Choose from the list" error="Pick one of the options in the dropdown." type="list">
      <formula1>"Permanent,Fixed term"</formula1>
    </dataValidation>
    <dataValidation sqref="H9:H20" showDropDown="0" showInputMessage="0" showErrorMessage="1" allowBlank="1" errorTitle="Choose from the list" error="Pick one of the options in the dropdown." type="list">
      <formula1>"Monthly,Fortnightly,Weekly,Hourly"</formula1>
    </dataValidation>
    <dataValidation sqref="O9:O20" showDropDown="0" showInputMessage="0" showErrorMessage="1" allowBlank="1" errorTitle="Choose from the list" error="Pick one of the options in the dropdown." type="list">
      <formula1>"Yes,No"</formula1>
    </dataValidation>
    <dataValidation sqref="S9:S20" showDropDown="0" showInputMessage="0" showErrorMessage="1" allowBlank="1" errorTitle="Choose from the list" error="Pick one of the options in the dropdown." type="list">
      <formula1>"Yes,No"</formula1>
    </dataValidation>
    <dataValidation sqref="W9:W20" showDropDown="0" showInputMessage="0" showErrorMessage="1" allowBlank="1" errorTitle="Choose from the list" error="Pick one of the options in the dropdown." type="list">
      <formula1>"Cheque or current,Savings,Transmission"</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D7B428"/>
    <outlinePr summaryBelow="1" summaryRight="1"/>
    <pageSetUpPr fitToPage="1"/>
  </sheetPr>
  <dimension ref="A1:F98"/>
  <sheetViews>
    <sheetView showGridLines="0" workbookViewId="0">
      <pane ySplit="8" topLeftCell="A9" activePane="bottomLeft" state="frozen"/>
      <selection pane="bottomLeft" activeCell="A1" sqref="A1"/>
    </sheetView>
  </sheetViews>
  <sheetFormatPr baseColWidth="8" defaultRowHeight="15"/>
  <cols>
    <col width="50" customWidth="1" min="1" max="1"/>
    <col width="4" customWidth="1" min="2" max="2"/>
    <col width="17" customWidth="1" min="3" max="3"/>
    <col width="17" customWidth="1" min="4" max="4"/>
    <col width="46" customWidth="1" min="5" max="5"/>
    <col width="30" customWidth="1" min="6" max="6"/>
  </cols>
  <sheetData>
    <row r="1" ht="26" customHeight="1">
      <c r="A1" s="1" t="inlineStr">
        <is>
          <t>PAYROLL RATES AND THRESHOLDS</t>
        </is>
      </c>
    </row>
    <row r="2" ht="14" customHeight="1">
      <c r="A2" s="2" t="inlineStr">
        <is>
          <t>Template B9 | Every figure the payroll uses, in one editable place. Change a figure here and the whole workbook follows.</t>
        </is>
      </c>
    </row>
    <row r="3" ht="4" customHeight="1">
      <c r="A3" s="3" t="n"/>
      <c r="B3" s="3" t="n"/>
      <c r="C3" s="3" t="n"/>
      <c r="D3" s="3" t="n"/>
      <c r="E3" s="3" t="n"/>
      <c r="F3" s="3" t="n"/>
    </row>
    <row r="4" ht="15" customHeight="1">
      <c r="A4" s="4" t="inlineStr">
        <is>
          <t>[YOUR COMPANY NAME]</t>
        </is>
      </c>
      <c r="E4" s="5" t="inlineStr">
        <is>
          <t>[ Insert your logo in the space above ]</t>
        </is>
      </c>
    </row>
    <row r="5" ht="15" customHeight="1">
      <c r="A5" s="6" t="inlineStr">
        <is>
          <t>Reg No: [XXXX/XXXXXX/XX]</t>
        </is>
      </c>
      <c r="E5" s="5" t="inlineStr">
        <is>
          <t>VAT No: [4XXXXXXXXX] (if VAT registered)</t>
        </is>
      </c>
    </row>
    <row r="6" ht="15" customHeight="1">
      <c r="A6" s="6" t="inlineStr">
        <is>
          <t>[email@yourbusiness.co.za]</t>
        </is>
      </c>
      <c r="E6" s="5" t="inlineStr">
        <is>
          <t>[+27 XX XXX XXXX]</t>
        </is>
      </c>
    </row>
    <row r="8" ht="22" customHeight="1">
      <c r="A8" s="15" t="inlineStr">
        <is>
          <t>THE TAX YEAR</t>
        </is>
      </c>
      <c r="B8" s="16" t="n"/>
      <c r="C8" s="16" t="n"/>
      <c r="D8" s="16" t="n"/>
      <c r="E8" s="16" t="n"/>
      <c r="F8" s="16" t="n"/>
    </row>
    <row r="9" ht="18" customHeight="1">
      <c r="A9" s="19" t="inlineStr">
        <is>
          <t>Year of assessment starts</t>
        </is>
      </c>
      <c r="C9" s="20" t="n">
        <v>46082</v>
      </c>
      <c r="E9" s="21" t="inlineStr">
        <is>
          <t>Individuals: 1 March to the end of February.</t>
        </is>
      </c>
    </row>
    <row r="10" ht="18" customHeight="1">
      <c r="A10" s="19" t="inlineStr">
        <is>
          <t>Year of assessment ends</t>
        </is>
      </c>
      <c r="C10" s="20" t="n">
        <v>46446</v>
      </c>
      <c r="E10" s="21" t="inlineStr">
        <is>
          <t>Used to work out each employee's age for the rebates.</t>
        </is>
      </c>
    </row>
    <row r="11" ht="18" customHeight="1">
      <c r="A11" s="19" t="inlineStr">
        <is>
          <t>Pay periods in a year</t>
        </is>
      </c>
      <c r="C11" s="22" t="n">
        <v>12</v>
      </c>
      <c r="E11" s="21" t="inlineStr">
        <is>
          <t>12 for a monthly payroll. This is what the annual figure is divided back by.</t>
        </is>
      </c>
    </row>
    <row r="12" ht="18" customHeight="1">
      <c r="A12" s="19" t="inlineStr">
        <is>
          <t>Weeks in a month, for the hourly rate</t>
        </is>
      </c>
      <c r="C12" s="23">
        <f>13/3</f>
        <v/>
      </c>
      <c r="E12" s="21" t="inlineStr">
        <is>
          <t>Four and one third, BCEA section 35.</t>
        </is>
      </c>
    </row>
    <row r="13" ht="18" customHeight="1">
      <c r="A13" s="19" t="inlineStr">
        <is>
          <t>Overtime multiple</t>
        </is>
      </c>
      <c r="C13" s="24" t="n">
        <v>1.5</v>
      </c>
      <c r="E13" s="21" t="inlineStr">
        <is>
          <t>At least 1.5 times normal wage, BCEA section 10.</t>
        </is>
      </c>
    </row>
    <row r="15" ht="22" customHeight="1">
      <c r="A15" s="15" t="inlineStr">
        <is>
          <t>INCOME TAX TABLE FOR INDIVIDUALS, 2026/27</t>
        </is>
      </c>
      <c r="B15" s="16" t="n"/>
      <c r="C15" s="16" t="n"/>
      <c r="D15" s="16" t="n"/>
      <c r="E15" s="16" t="n"/>
      <c r="F15" s="16" t="n"/>
    </row>
    <row r="16" ht="30" customHeight="1">
      <c r="A16" s="7" t="inlineStr">
        <is>
          <t>BRACKET</t>
        </is>
      </c>
      <c r="B16" s="7" t="inlineStr">
        <is>
          <t>RATE</t>
        </is>
      </c>
      <c r="C16" s="7" t="inlineStr">
        <is>
          <t>TAXABLE INCOME FROM</t>
        </is>
      </c>
      <c r="D16" s="7" t="inlineStr">
        <is>
          <t>TAXABLE INCOME TO</t>
        </is>
      </c>
      <c r="E16" s="7" t="inlineStr">
        <is>
          <t>TAX ON ALL THE INCOME BELOW THIS BRACKET</t>
        </is>
      </c>
      <c r="F16" s="7" t="inlineStr">
        <is>
          <t>THE RATE APPLIES ABOVE THIS AMOUNT</t>
        </is>
      </c>
    </row>
    <row r="17" ht="18" customHeight="1">
      <c r="A17" s="19" t="inlineStr">
        <is>
          <t>Bracket 1</t>
        </is>
      </c>
      <c r="B17" s="25" t="n">
        <v>0.18</v>
      </c>
      <c r="C17" s="26" t="n">
        <v>1</v>
      </c>
      <c r="D17" s="26" t="n">
        <v>245100</v>
      </c>
      <c r="E17" s="27" t="n">
        <v>0</v>
      </c>
      <c r="F17" s="28">
        <f>C17-1</f>
        <v/>
      </c>
    </row>
    <row r="18" ht="18" customHeight="1">
      <c r="A18" s="19" t="inlineStr">
        <is>
          <t>Bracket 2</t>
        </is>
      </c>
      <c r="B18" s="25" t="n">
        <v>0.26</v>
      </c>
      <c r="C18" s="26" t="n">
        <v>245101</v>
      </c>
      <c r="D18" s="26" t="n">
        <v>383100</v>
      </c>
      <c r="E18" s="27" t="n">
        <v>44118</v>
      </c>
      <c r="F18" s="28">
        <f>C18-1</f>
        <v/>
      </c>
    </row>
    <row r="19" ht="18" customHeight="1">
      <c r="A19" s="19" t="inlineStr">
        <is>
          <t>Bracket 3</t>
        </is>
      </c>
      <c r="B19" s="25" t="n">
        <v>0.31</v>
      </c>
      <c r="C19" s="26" t="n">
        <v>383101</v>
      </c>
      <c r="D19" s="26" t="n">
        <v>530200</v>
      </c>
      <c r="E19" s="27" t="n">
        <v>79998</v>
      </c>
      <c r="F19" s="28">
        <f>C19-1</f>
        <v/>
      </c>
    </row>
    <row r="20" ht="18" customHeight="1">
      <c r="A20" s="19" t="inlineStr">
        <is>
          <t>Bracket 4</t>
        </is>
      </c>
      <c r="B20" s="25" t="n">
        <v>0.36</v>
      </c>
      <c r="C20" s="26" t="n">
        <v>530201</v>
      </c>
      <c r="D20" s="26" t="n">
        <v>695800</v>
      </c>
      <c r="E20" s="27" t="n">
        <v>125599</v>
      </c>
      <c r="F20" s="28">
        <f>C20-1</f>
        <v/>
      </c>
    </row>
    <row r="21" ht="18" customHeight="1">
      <c r="A21" s="19" t="inlineStr">
        <is>
          <t>Bracket 5</t>
        </is>
      </c>
      <c r="B21" s="25" t="n">
        <v>0.39</v>
      </c>
      <c r="C21" s="26" t="n">
        <v>695801</v>
      </c>
      <c r="D21" s="26" t="n">
        <v>887000</v>
      </c>
      <c r="E21" s="27" t="n">
        <v>185215</v>
      </c>
      <c r="F21" s="28">
        <f>C21-1</f>
        <v/>
      </c>
    </row>
    <row r="22" ht="18" customHeight="1">
      <c r="A22" s="19" t="inlineStr">
        <is>
          <t>Bracket 6</t>
        </is>
      </c>
      <c r="B22" s="25" t="n">
        <v>0.41</v>
      </c>
      <c r="C22" s="26" t="n">
        <v>887001</v>
      </c>
      <c r="D22" s="26" t="n">
        <v>1878600</v>
      </c>
      <c r="E22" s="27" t="n">
        <v>259783</v>
      </c>
      <c r="F22" s="28">
        <f>C22-1</f>
        <v/>
      </c>
    </row>
    <row r="23" ht="18" customHeight="1">
      <c r="A23" s="19" t="inlineStr">
        <is>
          <t>Bracket 7</t>
        </is>
      </c>
      <c r="B23" s="25" t="n">
        <v>0.45</v>
      </c>
      <c r="C23" s="26" t="n">
        <v>1878601</v>
      </c>
      <c r="D23" s="29" t="inlineStr">
        <is>
          <t>No upper limit</t>
        </is>
      </c>
      <c r="E23" s="27" t="n">
        <v>666339</v>
      </c>
      <c r="F23" s="28">
        <f>C23-1</f>
        <v/>
      </c>
    </row>
    <row r="24" ht="42" customHeight="1">
      <c r="A24" s="18" t="inlineStr">
        <is>
          <t>Note: This is the table for the year of assessment 1 March 2026 to 28 February 2027, published by SARS. The last column works itself out and is what the calculation actually uses: the rate for a bracket applies only to the income above that amount, and the amount in the column before it is the tax on everything below. Check the table against sars.gov.za after every budget.</t>
        </is>
      </c>
    </row>
    <row r="26" ht="22" customHeight="1">
      <c r="A26" s="15" t="inlineStr">
        <is>
          <t>REBATES, AND THE AGE EACH ONE STARTS AT</t>
        </is>
      </c>
      <c r="B26" s="16" t="n"/>
      <c r="C26" s="16" t="n"/>
      <c r="D26" s="16" t="n"/>
      <c r="E26" s="16" t="n"/>
      <c r="F26" s="16" t="n"/>
    </row>
    <row r="27" ht="18" customHeight="1">
      <c r="A27" s="19" t="inlineStr">
        <is>
          <t>Primary rebate, every employee whatever their age</t>
        </is>
      </c>
      <c r="C27" s="27" t="n">
        <v>17820</v>
      </c>
      <c r="E27" s="21" t="inlineStr">
        <is>
          <t>Comes off the tax, not off the income.</t>
        </is>
      </c>
    </row>
    <row r="28" ht="18" customHeight="1">
      <c r="A28" s="19" t="inlineStr">
        <is>
          <t>Secondary rebate, added for an older employee</t>
        </is>
      </c>
      <c r="C28" s="27" t="n">
        <v>9765</v>
      </c>
      <c r="E28" s="21" t="inlineStr">
        <is>
          <t>This is on top of the primary rebate, not instead of it.</t>
        </is>
      </c>
    </row>
    <row r="29" ht="18" customHeight="1">
      <c r="A29" s="19" t="inlineStr">
        <is>
          <t>Tertiary rebate, added again for the oldest employees</t>
        </is>
      </c>
      <c r="C29" s="27" t="n">
        <v>3249</v>
      </c>
      <c r="E29" s="21" t="inlineStr">
        <is>
          <t>On top of both of the others.</t>
        </is>
      </c>
    </row>
    <row r="30" ht="18" customHeight="1">
      <c r="A30" s="19" t="inlineStr">
        <is>
          <t>Age the secondary rebate starts at</t>
        </is>
      </c>
      <c r="C30" s="22" t="n">
        <v>65</v>
      </c>
      <c r="E30" s="21" t="inlineStr">
        <is>
          <t>Age reached at any time during the year of assessment.</t>
        </is>
      </c>
    </row>
    <row r="31" ht="18" customHeight="1">
      <c r="A31" s="19" t="inlineStr">
        <is>
          <t>Age the tertiary rebate starts at</t>
        </is>
      </c>
      <c r="C31" s="22" t="n">
        <v>75</v>
      </c>
      <c r="E31" s="21" t="inlineStr">
        <is>
          <t>Age reached at any time during the year of assessment.</t>
        </is>
      </c>
    </row>
    <row r="32" ht="30" customHeight="1">
      <c r="A32" s="18" t="inlineStr">
        <is>
          <t>Note: The rebates add up. An employee of 66 gets R 17 820 plus R 9 765, which is R 27 585. An employee of 76 gets all three, which is R 30 834. Missing the second one is the most common payroll mistake made with older staff, and it costs them money every month.</t>
        </is>
      </c>
    </row>
    <row r="34" ht="22" customHeight="1">
      <c r="A34" s="15" t="inlineStr">
        <is>
          <t>TAX THRESHOLDS, WORKED OUT FROM THE REBATES AS A CHECK</t>
        </is>
      </c>
      <c r="B34" s="16" t="n"/>
      <c r="C34" s="16" t="n"/>
      <c r="D34" s="16" t="n"/>
      <c r="E34" s="16" t="n"/>
      <c r="F34" s="16" t="n"/>
    </row>
    <row r="35" ht="18" customHeight="1">
      <c r="A35" s="19" t="inlineStr">
        <is>
          <t>Under 65, no tax below this yearly income</t>
        </is>
      </c>
      <c r="C35" s="28">
        <f>ROUND(C27/B17,0)</f>
        <v/>
      </c>
      <c r="E35" s="21" t="inlineStr">
        <is>
          <t>Should come to R 99 000.</t>
        </is>
      </c>
    </row>
    <row r="36" ht="18" customHeight="1">
      <c r="A36" s="19" t="inlineStr">
        <is>
          <t>65 to 74, no tax below this yearly income</t>
        </is>
      </c>
      <c r="C36" s="28">
        <f>ROUND((C27+C28)/B17,0)</f>
        <v/>
      </c>
      <c r="E36" s="21" t="inlineStr">
        <is>
          <t>Should come to R 153 250.</t>
        </is>
      </c>
    </row>
    <row r="37" ht="18" customHeight="1">
      <c r="A37" s="19" t="inlineStr">
        <is>
          <t>75 and over, no tax below this yearly income</t>
        </is>
      </c>
      <c r="C37" s="28">
        <f>ROUND((C27+C28+C29)/B17,0)</f>
        <v/>
      </c>
      <c r="E37" s="21" t="inlineStr">
        <is>
          <t>Should come to R 171 300.</t>
        </is>
      </c>
    </row>
    <row r="38" ht="30" customHeight="1">
      <c r="A38" s="18" t="inlineStr">
        <is>
          <t>Note: These three are not typed in. They are the rebates divided by the bottom tax rate, which is exactly what a threshold is. If one of them stops matching the figure SARS publishes, then a rebate or the bottom rate above has been entered wrongly. It is a free check on your own rates sheet.</t>
        </is>
      </c>
    </row>
    <row r="40" ht="22" customHeight="1">
      <c r="A40" s="15" t="inlineStr">
        <is>
          <t>MEDICAL SCHEME FEES TAX CREDIT, A MONTH</t>
        </is>
      </c>
      <c r="B40" s="16" t="n"/>
      <c r="C40" s="16" t="n"/>
      <c r="D40" s="16" t="n"/>
      <c r="E40" s="16" t="n"/>
      <c r="F40" s="16" t="n"/>
    </row>
    <row r="41" ht="18" customHeight="1">
      <c r="A41" s="19" t="inlineStr">
        <is>
          <t>Main member</t>
        </is>
      </c>
      <c r="C41" s="27" t="n">
        <v>376</v>
      </c>
      <c r="E41" s="21" t="inlineStr">
        <is>
          <t>Only where the employee belongs to a registered medical scheme.</t>
        </is>
      </c>
    </row>
    <row r="42" ht="18" customHeight="1">
      <c r="A42" s="19" t="inlineStr">
        <is>
          <t>First dependant</t>
        </is>
      </c>
      <c r="C42" s="27" t="n">
        <v>376</v>
      </c>
      <c r="E42" s="21" t="inlineStr">
        <is>
          <t>SARS publishes R 752 for the member and first dependant together. That is the two figures added up, not the dependant on its own.</t>
        </is>
      </c>
    </row>
    <row r="43" ht="18" customHeight="1">
      <c r="A43" s="19" t="inlineStr">
        <is>
          <t>Each additional dependant</t>
        </is>
      </c>
      <c r="C43" s="27" t="n">
        <v>254</v>
      </c>
      <c r="E43" s="21" t="inlineStr">
        <is>
          <t>From the second dependant onwards.</t>
        </is>
      </c>
    </row>
    <row r="44" ht="30" customHeight="1">
      <c r="A44" s="18" t="inlineStr">
        <is>
          <t>Note: This is a credit against the tax, not a deduction from income, and the employer must take it off the monthly PAYE. A member with two dependants gets R 376 plus R 376 plus R 254, which is R 1 006 a month. The credit can only bring PAYE down to nil. It is never paid out to the employee.</t>
        </is>
      </c>
    </row>
    <row r="45" ht="18" customHeight="1">
      <c r="A45" s="18" t="inlineStr">
        <is>
          <t>Note: Out of pocket medical expenses and the extra relief for members over 65 are settled when the employee files their own return. Do not try to give them through the payroll.</t>
        </is>
      </c>
    </row>
    <row r="47" ht="22" customHeight="1">
      <c r="A47" s="15" t="inlineStr">
        <is>
          <t>UNEMPLOYMENT INSURANCE FUND</t>
        </is>
      </c>
      <c r="B47" s="16" t="n"/>
      <c r="C47" s="16" t="n"/>
      <c r="D47" s="16" t="n"/>
      <c r="E47" s="16" t="n"/>
      <c r="F47" s="16" t="n"/>
    </row>
    <row r="48" ht="18" customHeight="1">
      <c r="A48" s="19" t="inlineStr">
        <is>
          <t>Employee contribution rate</t>
        </is>
      </c>
      <c r="C48" s="25" t="n">
        <v>0.01</v>
      </c>
      <c r="E48" s="21" t="inlineStr">
        <is>
          <t>Deducted from the employee.</t>
        </is>
      </c>
    </row>
    <row r="49" ht="18" customHeight="1">
      <c r="A49" s="19" t="inlineStr">
        <is>
          <t>Employer contribution rate</t>
        </is>
      </c>
      <c r="C49" s="25" t="n">
        <v>0.01</v>
      </c>
      <c r="E49" s="21" t="inlineStr">
        <is>
          <t>Paid by the business on top. Never deducted from the employee.</t>
        </is>
      </c>
    </row>
    <row r="50" ht="18" customHeight="1">
      <c r="A50" s="19" t="inlineStr">
        <is>
          <t>Monthly remuneration ceiling</t>
        </is>
      </c>
      <c r="C50" s="27" t="n">
        <v>17712</v>
      </c>
      <c r="E50" s="21" t="inlineStr">
        <is>
          <t>Effective 1 June 2021 and unchanged. R 212 544 a year.</t>
        </is>
      </c>
    </row>
    <row r="51" ht="18" customHeight="1">
      <c r="A51" s="19" t="inlineStr">
        <is>
          <t>Most that can be paid a month, each side</t>
        </is>
      </c>
      <c r="C51" s="30">
        <f>ROUND(C50*C48,2)</f>
        <v/>
      </c>
      <c r="E51" s="21" t="inlineStr">
        <is>
          <t>Should come to R 177.12, so R 354.24 from both sides together.</t>
        </is>
      </c>
    </row>
    <row r="52" ht="30" customHeight="1">
      <c r="A52" s="18" t="inlineStr">
        <is>
          <t>Note: The ceiling caps the earnings the 1% is worked out on, not the rate. An employee on R 25 000 a month contributes 1% of R 17 712, which is R 177.12, and not 1% of R 25 000. Employees who work fewer than 24 hours a month for you are outside UIF altogether. Domestic workers are inside it.</t>
        </is>
      </c>
    </row>
    <row r="54" ht="22" customHeight="1">
      <c r="A54" s="15" t="inlineStr">
        <is>
          <t>SKILLS DEVELOPMENT LEVY</t>
        </is>
      </c>
      <c r="B54" s="16" t="n"/>
      <c r="C54" s="16" t="n"/>
      <c r="D54" s="16" t="n"/>
      <c r="E54" s="16" t="n"/>
      <c r="F54" s="16" t="n"/>
    </row>
    <row r="55" ht="18" customHeight="1">
      <c r="A55" s="19" t="inlineStr">
        <is>
          <t>Rate on total remuneration</t>
        </is>
      </c>
      <c r="C55" s="25" t="n">
        <v>0.01</v>
      </c>
      <c r="E55" s="21" t="inlineStr">
        <is>
          <t>An employer cost. Never deducted from an employee.</t>
        </is>
      </c>
    </row>
    <row r="56" ht="18" customHeight="1">
      <c r="A56" s="19" t="inlineStr">
        <is>
          <t>Payroll threshold over the next 12 months</t>
        </is>
      </c>
      <c r="C56" s="27" t="n">
        <v>500000</v>
      </c>
      <c r="E56" s="21" t="inlineStr">
        <is>
          <t>Total for all your staff together, not per employee.</t>
        </is>
      </c>
    </row>
    <row r="57" ht="18" customHeight="1">
      <c r="A57" s="19" t="inlineStr">
        <is>
          <t>Does SDL apply to this business?</t>
        </is>
      </c>
      <c r="C57" s="31" t="inlineStr">
        <is>
          <t>Work it out for me</t>
        </is>
      </c>
      <c r="E57" s="21" t="inlineStr">
        <is>
          <t>Leave it on automatic, or override it if you already know your registration position.</t>
        </is>
      </c>
    </row>
    <row r="58" ht="18" customHeight="1">
      <c r="A58" s="19" t="inlineStr">
        <is>
          <t>Payroll for the year at this month's rate</t>
        </is>
      </c>
      <c r="C58" s="30">
        <f>ROUND(REG_GROSS_TOTAL*C11,2)</f>
        <v/>
      </c>
      <c r="E58" s="21" t="inlineStr">
        <is>
          <t>This month's total gross, times the pay periods in a year.</t>
        </is>
      </c>
    </row>
    <row r="59" ht="18" customHeight="1">
      <c r="A59" s="19" t="inlineStr">
        <is>
          <t>SDL applies this month</t>
        </is>
      </c>
      <c r="C59" s="32">
        <f>IF(C57="Yes",1,IF(C57="No",0,IF(C58&gt;C56,1,0)))</f>
        <v/>
      </c>
      <c r="E59" s="21" t="inlineStr">
        <is>
          <t>1 means the register charges SDL. 0 means it does not.</t>
        </is>
      </c>
    </row>
    <row r="60" ht="30" customHeight="1">
      <c r="A60" s="18" t="inlineStr">
        <is>
          <t>Note: The threshold looks forward: it asks what you expect to pay all your staff together over the next 12 months. Four people on R 11 000 a month comes to R 528 000 a year, which is over the threshold, even though nobody individually is anywhere near it. If you are under the threshold you do not register for SDL at all.</t>
        </is>
      </c>
    </row>
    <row r="62" ht="22" customHeight="1">
      <c r="A62" s="15" t="inlineStr">
        <is>
          <t>COIDA, THE COMPENSATION FUND</t>
        </is>
      </c>
      <c r="B62" s="16" t="n"/>
      <c r="C62" s="16" t="n"/>
      <c r="D62" s="16" t="n"/>
      <c r="E62" s="16" t="n"/>
      <c r="F62" s="16" t="n"/>
    </row>
    <row r="63" ht="18" customHeight="1">
      <c r="A63" s="19" t="inlineStr">
        <is>
          <t>Assessment tariff for every R 100 of earnings</t>
        </is>
      </c>
      <c r="C63" s="33" t="n">
        <v>1</v>
      </c>
      <c r="E63" s="21" t="inlineStr">
        <is>
          <t>Risk rated by industry. An office is low, construction is much higher. Your assessment notice shows yours.</t>
        </is>
      </c>
    </row>
    <row r="64" ht="18" customHeight="1">
      <c r="A64" s="19" t="inlineStr">
        <is>
          <t>Earnings ceiling for each employee, a year</t>
        </is>
      </c>
      <c r="C64" s="27" t="n">
        <v>668000</v>
      </c>
      <c r="E64" s="21" t="inlineStr">
        <is>
          <t>Effective 1 March 2026. Earnings above this are disregarded.</t>
        </is>
      </c>
    </row>
    <row r="65" ht="18" customHeight="1">
      <c r="A65" s="19" t="inlineStr">
        <is>
          <t>The same ceiling, a month</t>
        </is>
      </c>
      <c r="C65" s="30">
        <f>ROUND(C64/12,2)</f>
        <v/>
      </c>
      <c r="E65" s="21" t="inlineStr">
        <is>
          <t>Used to cap the monthly provision.</t>
        </is>
      </c>
    </row>
    <row r="66" ht="30" customHeight="1">
      <c r="A66" s="18" t="inlineStr">
        <is>
          <t>Note: COIDA is an annual assessment, not a monthly return, and it is not on the EMP201. The register works out a monthly provision so you can see the real cost of an employee and put the money aside. Registration is compulsory within 7 days of your first employee.</t>
        </is>
      </c>
    </row>
    <row r="68" ht="22" customHeight="1">
      <c r="A68" s="15" t="inlineStr">
        <is>
          <t>NATIONAL MINIMUM WAGE</t>
        </is>
      </c>
      <c r="B68" s="16" t="n"/>
      <c r="C68" s="16" t="n"/>
      <c r="D68" s="16" t="n"/>
      <c r="E68" s="16" t="n"/>
      <c r="F68" s="16" t="n"/>
    </row>
    <row r="69" ht="18" customHeight="1">
      <c r="A69" s="19" t="inlineStr">
        <is>
          <t>National Minimum Wage an ordinary hour</t>
        </is>
      </c>
      <c r="C69" s="27" t="n">
        <v>30.23</v>
      </c>
      <c r="E69" s="21" t="inlineStr">
        <is>
          <t>Effective 1 March 2026. Same rate for domestic and farm workers.</t>
        </is>
      </c>
    </row>
    <row r="70" ht="18" customHeight="1">
      <c r="A70" s="19" t="inlineStr">
        <is>
          <t>Expanded Public Works Programme rate an hour</t>
        </is>
      </c>
      <c r="C70" s="27" t="n">
        <v>16.62</v>
      </c>
      <c r="E70" s="21" t="inlineStr">
        <is>
          <t>A separate lower rate, EPWP only.</t>
        </is>
      </c>
    </row>
    <row r="71" ht="30" customHeight="1">
      <c r="A71" s="18" t="inlineStr">
        <is>
          <t>Note: Nobody may be paid less than the National Minimum Wage, whatever the contract says. Some sectors, including contract cleaning and wholesale and retail, have their own higher minimum. If a sectoral determination or bargaining council covers you, its rate applies instead wherever it is higher.</t>
        </is>
      </c>
    </row>
    <row r="73" ht="22" customHeight="1">
      <c r="A73" s="15" t="inlineStr">
        <is>
          <t>EMPLOYMENT TAX INCENTIVE</t>
        </is>
      </c>
      <c r="B73" s="16" t="n"/>
      <c r="C73" s="16" t="n"/>
      <c r="D73" s="16" t="n"/>
      <c r="E73" s="16" t="n"/>
      <c r="F73" s="16" t="n"/>
    </row>
    <row r="74" ht="18" customHeight="1">
      <c r="A74" s="19" t="inlineStr">
        <is>
          <t>Most an employee may earn a month and still qualify</t>
        </is>
      </c>
      <c r="C74" s="27" t="n">
        <v>7500</v>
      </c>
      <c r="E74" s="21" t="inlineStr">
        <is>
          <t>Raised from R 6 500 on 1 April 2025.</t>
        </is>
      </c>
    </row>
    <row r="75" ht="18" customHeight="1">
      <c r="A75" s="19" t="inlineStr">
        <is>
          <t>Top of the first remuneration band</t>
        </is>
      </c>
      <c r="C75" s="27" t="n">
        <v>2500</v>
      </c>
      <c r="E75" s="21" t="inlineStr">
        <is>
          <t>Below this the incentive is a percentage of the wage.</t>
        </is>
      </c>
    </row>
    <row r="76" ht="18" customHeight="1">
      <c r="A76" s="19" t="inlineStr">
        <is>
          <t>Top of the flat rate band</t>
        </is>
      </c>
      <c r="C76" s="27" t="n">
        <v>5500</v>
      </c>
      <c r="E76" s="21" t="inlineStr">
        <is>
          <t>Above this the incentive tapers away.</t>
        </is>
      </c>
    </row>
    <row r="77" ht="18" customHeight="1">
      <c r="A77" s="19" t="inlineStr">
        <is>
          <t>Percentage in the first band, first 12 months</t>
        </is>
      </c>
      <c r="C77" s="25" t="n">
        <v>0.6</v>
      </c>
    </row>
    <row r="78" ht="18" customHeight="1">
      <c r="A78" s="19" t="inlineStr">
        <is>
          <t>Percentage in the first band, second 12 months</t>
        </is>
      </c>
      <c r="C78" s="25" t="n">
        <v>0.3</v>
      </c>
    </row>
    <row r="79" ht="18" customHeight="1">
      <c r="A79" s="19" t="inlineStr">
        <is>
          <t>Most you can claim a month, first 12 months</t>
        </is>
      </c>
      <c r="C79" s="27" t="n">
        <v>1500</v>
      </c>
    </row>
    <row r="80" ht="18" customHeight="1">
      <c r="A80" s="19" t="inlineStr">
        <is>
          <t>Most you can claim a month, second 12 months</t>
        </is>
      </c>
      <c r="C80" s="27" t="n">
        <v>750</v>
      </c>
    </row>
    <row r="81" ht="18" customHeight="1">
      <c r="A81" s="19" t="inlineStr">
        <is>
          <t>Taper rate, first 12 months</t>
        </is>
      </c>
      <c r="C81" s="25" t="n">
        <v>0.75</v>
      </c>
      <c r="E81" s="21" t="inlineStr">
        <is>
          <t>Applied to the wage above the flat rate band.</t>
        </is>
      </c>
    </row>
    <row r="82" ht="18" customHeight="1">
      <c r="A82" s="19" t="inlineStr">
        <is>
          <t>Taper rate, second 12 months</t>
        </is>
      </c>
      <c r="C82" s="25" t="n">
        <v>0.375</v>
      </c>
    </row>
    <row r="83" ht="18" customHeight="1">
      <c r="A83" s="19" t="inlineStr">
        <is>
          <t>Hours treated as a full month</t>
        </is>
      </c>
      <c r="C83" s="22" t="n">
        <v>160</v>
      </c>
      <c r="E83" s="21" t="inlineStr">
        <is>
          <t>Someone who works fewer hours is grossed up to 160 to find the band, then scaled back down.</t>
        </is>
      </c>
    </row>
    <row r="84" ht="18" customHeight="1">
      <c r="A84" s="19" t="inlineStr">
        <is>
          <t>Youngest qualifying age</t>
        </is>
      </c>
      <c r="C84" s="22" t="n">
        <v>18</v>
      </c>
    </row>
    <row r="85" ht="18" customHeight="1">
      <c r="A85" s="19" t="inlineStr">
        <is>
          <t>Oldest qualifying age</t>
        </is>
      </c>
      <c r="C85" s="22" t="n">
        <v>29</v>
      </c>
      <c r="E85" s="21" t="inlineStr">
        <is>
          <t>The age cap falls away inside a special economic zone.</t>
        </is>
      </c>
    </row>
    <row r="86" ht="18" customHeight="1">
      <c r="A86" s="19" t="inlineStr">
        <is>
          <t>Wage floor where no minimum wage applies</t>
        </is>
      </c>
      <c r="C86" s="27" t="n">
        <v>2500</v>
      </c>
      <c r="E86" s="21" t="inlineStr">
        <is>
          <t>Only for an employee genuinely exempt from the National Minimum Wage.</t>
        </is>
      </c>
    </row>
    <row r="87" ht="30" customHeight="1">
      <c r="A87" s="18" t="inlineStr">
        <is>
          <t>Note: The incentive runs to 28 February 2029. It is money you keep instead of paying it to SARS, and it changes nothing for the employee: their wage and their PAYE are untouched. You may claim for a maximum of 24 qualifying months for each employee. Domestic workers and anyone connected to the owner never qualify.</t>
        </is>
      </c>
    </row>
    <row r="89" ht="22" customHeight="1">
      <c r="A89" s="15" t="inlineStr">
        <is>
          <t>WHERE THESE FIGURES COME FROM</t>
        </is>
      </c>
      <c r="B89" s="16" t="n"/>
      <c r="C89" s="16" t="n"/>
      <c r="D89" s="16" t="n"/>
      <c r="E89" s="16" t="n"/>
      <c r="F89" s="16" t="n"/>
    </row>
    <row r="90" ht="26" customHeight="1">
      <c r="A90" s="34" t="inlineStr">
        <is>
          <t>sars.gov.za, rates of tax for individuals</t>
        </is>
      </c>
      <c r="C90" s="35" t="inlineStr">
        <is>
          <t>The tax table, the rebates and the thresholds. Effective 1 March 2026.</t>
        </is>
      </c>
    </row>
    <row r="91" ht="26" customHeight="1">
      <c r="A91" s="34" t="inlineStr">
        <is>
          <t>sars.gov.za, medical tax credit rates</t>
        </is>
      </c>
      <c r="C91" s="35" t="inlineStr">
        <is>
          <t>The medical scheme fees tax credit. Effective 1 March 2026.</t>
        </is>
      </c>
    </row>
    <row r="92" ht="26" customHeight="1">
      <c r="A92" s="34" t="inlineStr">
        <is>
          <t>Unemployment Insurance Contributions Act, ceiling gazetted 28 May 2021</t>
        </is>
      </c>
      <c r="C92" s="35" t="inlineStr">
        <is>
          <t>The 1% each side and the R 17 712 ceiling. Effective 1 June 2021.</t>
        </is>
      </c>
    </row>
    <row r="93" ht="26" customHeight="1">
      <c r="A93" s="34" t="inlineStr">
        <is>
          <t>sars.gov.za, skills development levy</t>
        </is>
      </c>
      <c r="C93" s="35" t="inlineStr">
        <is>
          <t>The 1% rate and the R 500 000 threshold. Threshold unchanged since 1 August 2005.</t>
        </is>
      </c>
    </row>
    <row r="94" ht="26" customHeight="1">
      <c r="A94" s="34" t="inlineStr">
        <is>
          <t>sars.gov.za, employment tax incentive</t>
        </is>
      </c>
      <c r="C94" s="35" t="inlineStr">
        <is>
          <t>The bands and the amounts. Effective 1 April 2025, incentive runs to 28 February 2029.</t>
        </is>
      </c>
    </row>
    <row r="95" ht="26" customHeight="1">
      <c r="A95" s="34" t="inlineStr">
        <is>
          <t>Compensation Fund</t>
        </is>
      </c>
      <c r="C95" s="35" t="inlineStr">
        <is>
          <t>The R 668 000 earnings ceiling. Effective 1 March 2026.</t>
        </is>
      </c>
    </row>
    <row r="96" ht="26" customHeight="1">
      <c r="A96" s="34" t="inlineStr">
        <is>
          <t>National Minimum Wage Act</t>
        </is>
      </c>
      <c r="C96" s="35" t="inlineStr">
        <is>
          <t>R 30.23 an ordinary hour. Effective 1 March 2026.</t>
        </is>
      </c>
    </row>
    <row r="97" ht="30" customHeight="1">
      <c r="A97" s="17" t="inlineStr">
        <is>
          <t>Important: rates, thresholds and fees quoted in this template were correct on 09 August 2026. Confirm the current figures on sars.gov.za, cipc.co.za or labour.gov.za before you rely on them.</t>
        </is>
      </c>
    </row>
    <row r="98" ht="30" customHeight="1">
      <c r="A98" s="18" t="inlineStr">
        <is>
          <t>Note: How to use this sheet: type only in the white cells, which show in blue text. The shaded cells work themselves out, so leave them alone. Notes in grey italic are guidance and can be deleted before you send the document.</t>
        </is>
      </c>
    </row>
  </sheetData>
  <mergeCells count="35">
    <mergeCell ref="A54:F54"/>
    <mergeCell ref="A66:F66"/>
    <mergeCell ref="C91:F91"/>
    <mergeCell ref="A89:F89"/>
    <mergeCell ref="E5:F5"/>
    <mergeCell ref="A26:F26"/>
    <mergeCell ref="A2:F2"/>
    <mergeCell ref="E4:F4"/>
    <mergeCell ref="A71:F71"/>
    <mergeCell ref="A47:F47"/>
    <mergeCell ref="C96:F96"/>
    <mergeCell ref="A32:F32"/>
    <mergeCell ref="C92:F92"/>
    <mergeCell ref="A8:F8"/>
    <mergeCell ref="A97:F97"/>
    <mergeCell ref="A62:F62"/>
    <mergeCell ref="A38:F38"/>
    <mergeCell ref="A52:F52"/>
    <mergeCell ref="E6:F6"/>
    <mergeCell ref="A68:F68"/>
    <mergeCell ref="A44:F44"/>
    <mergeCell ref="A34:F34"/>
    <mergeCell ref="A40:F40"/>
    <mergeCell ref="C94:F94"/>
    <mergeCell ref="C93:F93"/>
    <mergeCell ref="A15:F15"/>
    <mergeCell ref="A24:F24"/>
    <mergeCell ref="A73:F73"/>
    <mergeCell ref="A60:F60"/>
    <mergeCell ref="A98:F98"/>
    <mergeCell ref="A1:F1"/>
    <mergeCell ref="A45:F45"/>
    <mergeCell ref="C90:F90"/>
    <mergeCell ref="C95:F95"/>
    <mergeCell ref="A87:F87"/>
  </mergeCells>
  <dataValidations count="1">
    <dataValidation sqref="C57" showDropDown="0" showInputMessage="0" showErrorMessage="1" allowBlank="1" errorTitle="Choose from the list" error="Pick one of the options in the dropdown." type="list">
      <formula1>"Work it out for me,Yes,No"</formula1>
    </dataValidation>
  </dataValidation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191C4A"/>
    <outlinePr summaryBelow="1" summaryRight="1"/>
    <pageSetUpPr fitToPage="1"/>
  </sheetPr>
  <dimension ref="A1:AC33"/>
  <sheetViews>
    <sheetView showGridLines="0" workbookViewId="0">
      <pane xSplit="3" ySplit="12" topLeftCell="D13" activePane="bottomRight" state="frozen"/>
      <selection pane="topRight"/>
      <selection pane="bottomLeft"/>
      <selection pane="bottomRight" activeCell="A1" sqref="A1"/>
    </sheetView>
  </sheetViews>
  <sheetFormatPr baseColWidth="8" defaultRowHeight="15"/>
  <cols>
    <col width="4" customWidth="1" min="1" max="1"/>
    <col width="11" customWidth="1" min="2" max="2"/>
    <col width="19" customWidth="1" min="3" max="3"/>
    <col width="5" customWidth="1" min="4" max="4"/>
    <col width="13" customWidth="1" min="5" max="5"/>
    <col width="9" customWidth="1" min="6" max="6"/>
    <col width="9" customWidth="1" min="7" max="7"/>
    <col width="12" customWidth="1" min="8" max="8"/>
    <col width="12" customWidth="1" min="9" max="9"/>
    <col width="12" customWidth="1" min="10" max="10"/>
    <col width="12" customWidth="1" min="11" max="11"/>
    <col width="14" customWidth="1" min="12" max="12"/>
    <col width="12" customWidth="1" min="13" max="13"/>
    <col width="13" customWidth="1" min="14" max="14"/>
    <col width="14" customWidth="1" min="15" max="15"/>
    <col width="13" customWidth="1" min="16" max="16"/>
    <col width="12" customWidth="1" min="17" max="17"/>
    <col width="12" customWidth="1" min="18" max="18"/>
    <col width="13" customWidth="1" min="19" max="19"/>
    <col width="13" customWidth="1" min="20" max="20"/>
    <col width="11" customWidth="1" min="21" max="21"/>
    <col width="12" customWidth="1" min="22" max="22"/>
    <col width="13" customWidth="1" min="23" max="23"/>
    <col width="14" customWidth="1" min="24" max="24"/>
    <col width="12" customWidth="1" min="25" max="25"/>
    <col width="13" customWidth="1" min="26" max="26"/>
    <col width="13" customWidth="1" min="27" max="27"/>
    <col width="15" customWidth="1" min="28" max="28"/>
    <col width="24" customWidth="1" min="29" max="29"/>
  </cols>
  <sheetData>
    <row r="1" ht="26" customHeight="1">
      <c r="A1" s="1" t="inlineStr">
        <is>
          <t>MONTHLY PAYROLL REGISTER</t>
        </is>
      </c>
    </row>
    <row r="2" ht="14" customHeight="1">
      <c r="A2" s="2" t="inlineStr">
        <is>
          <t>Template B9 | One row an employee for one month. The PAYE working is shown in full so you can check every number.</t>
        </is>
      </c>
    </row>
    <row r="3" ht="4" customHeight="1">
      <c r="A3" s="3" t="n"/>
      <c r="B3" s="3" t="n"/>
      <c r="C3" s="3" t="n"/>
      <c r="D3" s="3" t="n"/>
      <c r="E3" s="3" t="n"/>
      <c r="F3" s="3" t="n"/>
      <c r="G3" s="3" t="n"/>
      <c r="H3" s="3" t="n"/>
      <c r="I3" s="3" t="n"/>
      <c r="J3" s="3" t="n"/>
      <c r="K3" s="3" t="n"/>
      <c r="L3" s="3" t="n"/>
      <c r="M3" s="3" t="n"/>
      <c r="N3" s="3" t="n"/>
      <c r="O3" s="3" t="n"/>
      <c r="P3" s="3" t="n"/>
      <c r="Q3" s="3" t="n"/>
      <c r="R3" s="3" t="n"/>
      <c r="S3" s="3" t="n"/>
      <c r="T3" s="3" t="n"/>
      <c r="U3" s="3" t="n"/>
      <c r="V3" s="3" t="n"/>
      <c r="W3" s="3" t="n"/>
      <c r="X3" s="3" t="n"/>
      <c r="Y3" s="3" t="n"/>
      <c r="Z3" s="3" t="n"/>
      <c r="AA3" s="3" t="n"/>
      <c r="AB3" s="3" t="n"/>
      <c r="AC3" s="3" t="n"/>
    </row>
    <row r="4" ht="15" customHeight="1">
      <c r="A4" s="4" t="inlineStr">
        <is>
          <t>[YOUR COMPANY NAME]</t>
        </is>
      </c>
      <c r="AB4" s="5" t="inlineStr">
        <is>
          <t>[ Insert your logo in the space above ]</t>
        </is>
      </c>
    </row>
    <row r="5" ht="15" customHeight="1">
      <c r="A5" s="6" t="inlineStr">
        <is>
          <t>Reg No: [XXXX/XXXXXX/XX]</t>
        </is>
      </c>
      <c r="AB5" s="5" t="inlineStr">
        <is>
          <t>VAT No: [4XXXXXXXXX] (if VAT registered)</t>
        </is>
      </c>
    </row>
    <row r="6" ht="15" customHeight="1">
      <c r="A6" s="6" t="inlineStr">
        <is>
          <t>[email@yourbusiness.co.za]</t>
        </is>
      </c>
      <c r="AB6" s="5" t="inlineStr">
        <is>
          <t>[+27 XX XXX XXXX]</t>
        </is>
      </c>
    </row>
    <row r="8" ht="20" customHeight="1">
      <c r="A8" s="19" t="inlineStr">
        <is>
          <t>Payroll month, the last day of the month</t>
        </is>
      </c>
      <c r="E8" s="20" t="n">
        <v>46265</v>
      </c>
      <c r="F8" s="19" t="inlineStr">
        <is>
          <t>This is</t>
        </is>
      </c>
      <c r="H8" s="36">
        <f>IF(E8="","",TEXT(E8,"MMMM YYYY"))</f>
        <v/>
      </c>
    </row>
    <row r="9" ht="22" customHeight="1">
      <c r="A9" s="37">
        <f>IF(COUNTIF(AC12:AC23,"Below the minimum wage")=0,"Every employee is paid at or above the National Minimum Wage of R "&amp;TEXT(NMW_RATE,"0.00")&amp;" an ordinary hour.","Warning: "&amp;COUNTIF(AC12:AC23,"Below the minimum wage")&amp;" employee(s) are paid below the National Minimum Wage of R "&amp;TEXT(NMW_RATE,"0.00")&amp;" an ordinary hour. This is unlawful. Fix it before you pay.")</f>
        <v/>
      </c>
    </row>
    <row r="11" ht="46" customHeight="1">
      <c r="A11" s="7" t="inlineStr">
        <is>
          <t>#</t>
        </is>
      </c>
      <c r="B11" s="7" t="inlineStr">
        <is>
          <t>EMPLOYEE NUMBER</t>
        </is>
      </c>
      <c r="C11" s="7" t="inlineStr">
        <is>
          <t>EMPLOYEE NAME</t>
        </is>
      </c>
      <c r="D11" s="7" t="inlineStr">
        <is>
          <t>AGE</t>
        </is>
      </c>
      <c r="E11" s="7" t="inlineStr">
        <is>
          <t>BASIC PAY FOR THE MONTH</t>
        </is>
      </c>
      <c r="F11" s="7" t="inlineStr">
        <is>
          <t>ORDINARY HOURS WORKED</t>
        </is>
      </c>
      <c r="G11" s="7" t="inlineStr">
        <is>
          <t>OVERTIME HOURS</t>
        </is>
      </c>
      <c r="H11" s="7" t="inlineStr">
        <is>
          <t>OVERTIME PAY</t>
        </is>
      </c>
      <c r="I11" s="7" t="inlineStr">
        <is>
          <t>TAXABLE ALLOWANCES</t>
        </is>
      </c>
      <c r="J11" s="7" t="inlineStr">
        <is>
          <t>TAXABLE FRINGE BENEFITS</t>
        </is>
      </c>
      <c r="K11" s="7" t="inlineStr">
        <is>
          <t>UNPAID LEAVE OR ADJUSTMENT</t>
        </is>
      </c>
      <c r="L11" s="7" t="inlineStr">
        <is>
          <t>GROSS REMUNERATION</t>
        </is>
      </c>
      <c r="M11" s="7" t="inlineStr">
        <is>
          <t>LESS PENSION OR PROVIDENT</t>
        </is>
      </c>
      <c r="N11" s="7" t="inlineStr">
        <is>
          <t>MONTHLY TAXABLE INCOME</t>
        </is>
      </c>
      <c r="O11" s="7" t="inlineStr">
        <is>
          <t>STEP 1: ANNUAL EQUIVALENT</t>
        </is>
      </c>
      <c r="P11" s="7" t="inlineStr">
        <is>
          <t>STEP 2: TAX PER THE TABLE</t>
        </is>
      </c>
      <c r="Q11" s="7" t="inlineStr">
        <is>
          <t>STEP 3: LESS REBATES</t>
        </is>
      </c>
      <c r="R11" s="7" t="inlineStr">
        <is>
          <t>STEP 4: LESS MEDICAL CREDIT</t>
        </is>
      </c>
      <c r="S11" s="7" t="inlineStr">
        <is>
          <t>STEP 5: PAYE FOR THE YEAR</t>
        </is>
      </c>
      <c r="T11" s="7" t="inlineStr">
        <is>
          <t>PAYE THIS MONTH</t>
        </is>
      </c>
      <c r="U11" s="7" t="inlineStr">
        <is>
          <t>UIF EMPLOYEE 1%</t>
        </is>
      </c>
      <c r="V11" s="7" t="inlineStr">
        <is>
          <t>OTHER DEDUCTIONS</t>
        </is>
      </c>
      <c r="W11" s="7" t="inlineStr">
        <is>
          <t>TOTAL DEDUCTIONS</t>
        </is>
      </c>
      <c r="X11" s="7" t="inlineStr">
        <is>
          <t>NET PAY</t>
        </is>
      </c>
      <c r="Y11" s="7" t="inlineStr">
        <is>
          <t>UIF EMPLOYER 1%</t>
        </is>
      </c>
      <c r="Z11" s="7" t="inlineStr">
        <is>
          <t>SDL</t>
        </is>
      </c>
      <c r="AA11" s="7" t="inlineStr">
        <is>
          <t>COIDA PROVISION</t>
        </is>
      </c>
      <c r="AB11" s="7" t="inlineStr">
        <is>
          <t>TOTAL COST TO THE BUSINESS</t>
        </is>
      </c>
      <c r="AC11" s="7" t="inlineStr">
        <is>
          <t>NATIONAL MINIMUM WAGE CHECK</t>
        </is>
      </c>
    </row>
    <row r="12" ht="19" customHeight="1">
      <c r="A12" s="38" t="n">
        <v>1</v>
      </c>
      <c r="B12" s="39">
        <f>IF('Employee master'!A9="","",'Employee master'!A9)</f>
        <v/>
      </c>
      <c r="C12" s="39">
        <f>IF('Employee master'!A9="","",'Employee master'!B9)</f>
        <v/>
      </c>
      <c r="D12" s="13">
        <f>IF('Employee master'!A9="","",'Employee master'!N9)</f>
        <v/>
      </c>
      <c r="E12" s="12">
        <f>IF(B12="","",IF('Employee master'!H9="Hourly",ROUND(N('Employee master'!J9)*N(F12),2),N('Employee master'!I9)))</f>
        <v/>
      </c>
      <c r="F12" s="40" t="n"/>
      <c r="G12" s="40" t="n"/>
      <c r="H12" s="12">
        <f>IF(B12="","",ROUND(N('Employee master'!L9)*OT_MULT*N(G12),2))</f>
        <v/>
      </c>
      <c r="I12" s="10" t="n"/>
      <c r="J12" s="10" t="n"/>
      <c r="K12" s="10" t="n"/>
      <c r="L12" s="41">
        <f>IF(B12="","",ROUND(N(E12)+N(H12)+N(I12)+N(J12)+N(K12),2))</f>
        <v/>
      </c>
      <c r="M12" s="12">
        <f>IF(B12="","",ROUND(N(E12)*N('Employee master'!R9),2))</f>
        <v/>
      </c>
      <c r="N12" s="12">
        <f>IF(B12="","",MAX(0,ROUND(L12-M12,2)))</f>
        <v/>
      </c>
      <c r="O12" s="12">
        <f>IF(B12="","",ROUND(N12*PAY_PERIODS,2))</f>
        <v/>
      </c>
      <c r="P12" s="12">
        <f>IF(B12="","",IF(O12&lt;=0,0,ROUND(LOOKUP(O12,TAX_FROM,TAX_BASE)+LOOKUP(O12,TAX_FROM,TAX_RATE)*(O12-LOOKUP(O12,TAX_FROM,TAX_ABOVE)),2)))</f>
        <v/>
      </c>
      <c r="Q12" s="12">
        <f>IF(B12="","",REBATE_1+IF(N(D12)&gt;=AGE_2,REBATE_2,0)+IF(N(D12)&gt;=AGE_3,REBATE_3,0))</f>
        <v/>
      </c>
      <c r="R12" s="12">
        <f>IF(B12="","",ROUND(N('Employee master'!Q9)*PAY_PERIODS,2))</f>
        <v/>
      </c>
      <c r="S12" s="12">
        <f>IF(B12="","",MAX(0,ROUND(P12-Q12-R12,2)))</f>
        <v/>
      </c>
      <c r="T12" s="41">
        <f>IF(B12="","",ROUND(S12/PAY_PERIODS,2))</f>
        <v/>
      </c>
      <c r="U12" s="12">
        <f>IF(B12="","",IF('Employee master'!S9&lt;&gt;"Yes",0,ROUND(MIN(L12,UIF_CEILING)*UIF_RATE,2)))</f>
        <v/>
      </c>
      <c r="V12" s="10" t="n"/>
      <c r="W12" s="12">
        <f>IF(B12="","",ROUND(T12+U12+M12+N(V12),2))</f>
        <v/>
      </c>
      <c r="X12" s="41">
        <f>IF(B12="","",ROUND(L12-W12,2))</f>
        <v/>
      </c>
      <c r="Y12" s="12">
        <f>IF(B12="","",IF('Employee master'!S9&lt;&gt;"Yes",0,ROUND(MIN(L12,UIF_CEILING)*UIF_RATE_ER,2)))</f>
        <v/>
      </c>
      <c r="Z12" s="12">
        <f>IF(B12="","",ROUND(L12*SDL_RATE*SDL_ON,2))</f>
        <v/>
      </c>
      <c r="AA12" s="12">
        <f>IF(B12="","",ROUND(MIN(L12,COIDA_MONTH)*COIDA_TARIFF/100,2))</f>
        <v/>
      </c>
      <c r="AB12" s="12">
        <f>IF(B12="","",ROUND(L12+Y12+Z12+AA12,2))</f>
        <v/>
      </c>
      <c r="AC12" s="42">
        <f>IF(B12="","",IF('Employee master'!L9="","No hourly rate worked out",IF('Employee master'!L9&lt;NMW_RATE,"Below the minimum wage","At or above the minimum wage")))</f>
        <v/>
      </c>
    </row>
    <row r="13" ht="19" customHeight="1">
      <c r="A13" s="38" t="n">
        <v>2</v>
      </c>
      <c r="B13" s="39">
        <f>IF('Employee master'!A10="","",'Employee master'!A10)</f>
        <v/>
      </c>
      <c r="C13" s="39">
        <f>IF('Employee master'!A10="","",'Employee master'!B10)</f>
        <v/>
      </c>
      <c r="D13" s="13">
        <f>IF('Employee master'!A10="","",'Employee master'!N10)</f>
        <v/>
      </c>
      <c r="E13" s="12">
        <f>IF(B13="","",IF('Employee master'!H10="Hourly",ROUND(N('Employee master'!J10)*N(F13),2),N('Employee master'!I10)))</f>
        <v/>
      </c>
      <c r="F13" s="40" t="n"/>
      <c r="G13" s="40" t="n">
        <v>5</v>
      </c>
      <c r="H13" s="12">
        <f>IF(B13="","",ROUND(N('Employee master'!L10)*OT_MULT*N(G13),2))</f>
        <v/>
      </c>
      <c r="I13" s="10" t="n"/>
      <c r="J13" s="10" t="n"/>
      <c r="K13" s="10" t="n"/>
      <c r="L13" s="41">
        <f>IF(B13="","",ROUND(N(E13)+N(H13)+N(I13)+N(J13)+N(K13),2))</f>
        <v/>
      </c>
      <c r="M13" s="12">
        <f>IF(B13="","",ROUND(N(E13)*N('Employee master'!R10),2))</f>
        <v/>
      </c>
      <c r="N13" s="12">
        <f>IF(B13="","",MAX(0,ROUND(L13-M13,2)))</f>
        <v/>
      </c>
      <c r="O13" s="12">
        <f>IF(B13="","",ROUND(N13*PAY_PERIODS,2))</f>
        <v/>
      </c>
      <c r="P13" s="12">
        <f>IF(B13="","",IF(O13&lt;=0,0,ROUND(LOOKUP(O13,TAX_FROM,TAX_BASE)+LOOKUP(O13,TAX_FROM,TAX_RATE)*(O13-LOOKUP(O13,TAX_FROM,TAX_ABOVE)),2)))</f>
        <v/>
      </c>
      <c r="Q13" s="12">
        <f>IF(B13="","",REBATE_1+IF(N(D13)&gt;=AGE_2,REBATE_2,0)+IF(N(D13)&gt;=AGE_3,REBATE_3,0))</f>
        <v/>
      </c>
      <c r="R13" s="12">
        <f>IF(B13="","",ROUND(N('Employee master'!Q10)*PAY_PERIODS,2))</f>
        <v/>
      </c>
      <c r="S13" s="12">
        <f>IF(B13="","",MAX(0,ROUND(P13-Q13-R13,2)))</f>
        <v/>
      </c>
      <c r="T13" s="41">
        <f>IF(B13="","",ROUND(S13/PAY_PERIODS,2))</f>
        <v/>
      </c>
      <c r="U13" s="12">
        <f>IF(B13="","",IF('Employee master'!S10&lt;&gt;"Yes",0,ROUND(MIN(L13,UIF_CEILING)*UIF_RATE,2)))</f>
        <v/>
      </c>
      <c r="V13" s="10" t="n"/>
      <c r="W13" s="12">
        <f>IF(B13="","",ROUND(T13+U13+M13+N(V13),2))</f>
        <v/>
      </c>
      <c r="X13" s="41">
        <f>IF(B13="","",ROUND(L13-W13,2))</f>
        <v/>
      </c>
      <c r="Y13" s="12">
        <f>IF(B13="","",IF('Employee master'!S10&lt;&gt;"Yes",0,ROUND(MIN(L13,UIF_CEILING)*UIF_RATE_ER,2)))</f>
        <v/>
      </c>
      <c r="Z13" s="12">
        <f>IF(B13="","",ROUND(L13*SDL_RATE*SDL_ON,2))</f>
        <v/>
      </c>
      <c r="AA13" s="12">
        <f>IF(B13="","",ROUND(MIN(L13,COIDA_MONTH)*COIDA_TARIFF/100,2))</f>
        <v/>
      </c>
      <c r="AB13" s="12">
        <f>IF(B13="","",ROUND(L13+Y13+Z13+AA13,2))</f>
        <v/>
      </c>
      <c r="AC13" s="42">
        <f>IF(B13="","",IF('Employee master'!L10="","No hourly rate worked out",IF('Employee master'!L10&lt;NMW_RATE,"Below the minimum wage","At or above the minimum wage")))</f>
        <v/>
      </c>
    </row>
    <row r="14" ht="19" customHeight="1">
      <c r="A14" s="38" t="n">
        <v>3</v>
      </c>
      <c r="B14" s="39">
        <f>IF('Employee master'!A11="","",'Employee master'!A11)</f>
        <v/>
      </c>
      <c r="C14" s="39">
        <f>IF('Employee master'!A11="","",'Employee master'!B11)</f>
        <v/>
      </c>
      <c r="D14" s="13">
        <f>IF('Employee master'!A11="","",'Employee master'!N11)</f>
        <v/>
      </c>
      <c r="E14" s="12">
        <f>IF(B14="","",IF('Employee master'!H11="Hourly",ROUND(N('Employee master'!J11)*N(F14),2),N('Employee master'!I11)))</f>
        <v/>
      </c>
      <c r="F14" s="40" t="n"/>
      <c r="G14" s="40" t="n"/>
      <c r="H14" s="12">
        <f>IF(B14="","",ROUND(N('Employee master'!L11)*OT_MULT*N(G14),2))</f>
        <v/>
      </c>
      <c r="I14" s="10" t="n">
        <v>1200</v>
      </c>
      <c r="J14" s="10" t="n"/>
      <c r="K14" s="10" t="n"/>
      <c r="L14" s="41">
        <f>IF(B14="","",ROUND(N(E14)+N(H14)+N(I14)+N(J14)+N(K14),2))</f>
        <v/>
      </c>
      <c r="M14" s="12">
        <f>IF(B14="","",ROUND(N(E14)*N('Employee master'!R11),2))</f>
        <v/>
      </c>
      <c r="N14" s="12">
        <f>IF(B14="","",MAX(0,ROUND(L14-M14,2)))</f>
        <v/>
      </c>
      <c r="O14" s="12">
        <f>IF(B14="","",ROUND(N14*PAY_PERIODS,2))</f>
        <v/>
      </c>
      <c r="P14" s="12">
        <f>IF(B14="","",IF(O14&lt;=0,0,ROUND(LOOKUP(O14,TAX_FROM,TAX_BASE)+LOOKUP(O14,TAX_FROM,TAX_RATE)*(O14-LOOKUP(O14,TAX_FROM,TAX_ABOVE)),2)))</f>
        <v/>
      </c>
      <c r="Q14" s="12">
        <f>IF(B14="","",REBATE_1+IF(N(D14)&gt;=AGE_2,REBATE_2,0)+IF(N(D14)&gt;=AGE_3,REBATE_3,0))</f>
        <v/>
      </c>
      <c r="R14" s="12">
        <f>IF(B14="","",ROUND(N('Employee master'!Q11)*PAY_PERIODS,2))</f>
        <v/>
      </c>
      <c r="S14" s="12">
        <f>IF(B14="","",MAX(0,ROUND(P14-Q14-R14,2)))</f>
        <v/>
      </c>
      <c r="T14" s="41">
        <f>IF(B14="","",ROUND(S14/PAY_PERIODS,2))</f>
        <v/>
      </c>
      <c r="U14" s="12">
        <f>IF(B14="","",IF('Employee master'!S11&lt;&gt;"Yes",0,ROUND(MIN(L14,UIF_CEILING)*UIF_RATE,2)))</f>
        <v/>
      </c>
      <c r="V14" s="10" t="n"/>
      <c r="W14" s="12">
        <f>IF(B14="","",ROUND(T14+U14+M14+N(V14),2))</f>
        <v/>
      </c>
      <c r="X14" s="41">
        <f>IF(B14="","",ROUND(L14-W14,2))</f>
        <v/>
      </c>
      <c r="Y14" s="12">
        <f>IF(B14="","",IF('Employee master'!S11&lt;&gt;"Yes",0,ROUND(MIN(L14,UIF_CEILING)*UIF_RATE_ER,2)))</f>
        <v/>
      </c>
      <c r="Z14" s="12">
        <f>IF(B14="","",ROUND(L14*SDL_RATE*SDL_ON,2))</f>
        <v/>
      </c>
      <c r="AA14" s="12">
        <f>IF(B14="","",ROUND(MIN(L14,COIDA_MONTH)*COIDA_TARIFF/100,2))</f>
        <v/>
      </c>
      <c r="AB14" s="12">
        <f>IF(B14="","",ROUND(L14+Y14+Z14+AA14,2))</f>
        <v/>
      </c>
      <c r="AC14" s="42">
        <f>IF(B14="","",IF('Employee master'!L11="","No hourly rate worked out",IF('Employee master'!L11&lt;NMW_RATE,"Below the minimum wage","At or above the minimum wage")))</f>
        <v/>
      </c>
    </row>
    <row r="15" ht="19" customHeight="1">
      <c r="A15" s="38" t="n">
        <v>4</v>
      </c>
      <c r="B15" s="39">
        <f>IF('Employee master'!A12="","",'Employee master'!A12)</f>
        <v/>
      </c>
      <c r="C15" s="39">
        <f>IF('Employee master'!A12="","",'Employee master'!B12)</f>
        <v/>
      </c>
      <c r="D15" s="13">
        <f>IF('Employee master'!A12="","",'Employee master'!N12)</f>
        <v/>
      </c>
      <c r="E15" s="12">
        <f>IF(B15="","",IF('Employee master'!H12="Hourly",ROUND(N('Employee master'!J12)*N(F15),2),N('Employee master'!I12)))</f>
        <v/>
      </c>
      <c r="F15" s="40" t="n"/>
      <c r="G15" s="40" t="n"/>
      <c r="H15" s="12">
        <f>IF(B15="","",ROUND(N('Employee master'!L12)*OT_MULT*N(G15),2))</f>
        <v/>
      </c>
      <c r="I15" s="10" t="n"/>
      <c r="J15" s="10" t="n"/>
      <c r="K15" s="10" t="n"/>
      <c r="L15" s="41">
        <f>IF(B15="","",ROUND(N(E15)+N(H15)+N(I15)+N(J15)+N(K15),2))</f>
        <v/>
      </c>
      <c r="M15" s="12">
        <f>IF(B15="","",ROUND(N(E15)*N('Employee master'!R12),2))</f>
        <v/>
      </c>
      <c r="N15" s="12">
        <f>IF(B15="","",MAX(0,ROUND(L15-M15,2)))</f>
        <v/>
      </c>
      <c r="O15" s="12">
        <f>IF(B15="","",ROUND(N15*PAY_PERIODS,2))</f>
        <v/>
      </c>
      <c r="P15" s="12">
        <f>IF(B15="","",IF(O15&lt;=0,0,ROUND(LOOKUP(O15,TAX_FROM,TAX_BASE)+LOOKUP(O15,TAX_FROM,TAX_RATE)*(O15-LOOKUP(O15,TAX_FROM,TAX_ABOVE)),2)))</f>
        <v/>
      </c>
      <c r="Q15" s="12">
        <f>IF(B15="","",REBATE_1+IF(N(D15)&gt;=AGE_2,REBATE_2,0)+IF(N(D15)&gt;=AGE_3,REBATE_3,0))</f>
        <v/>
      </c>
      <c r="R15" s="12">
        <f>IF(B15="","",ROUND(N('Employee master'!Q12)*PAY_PERIODS,2))</f>
        <v/>
      </c>
      <c r="S15" s="12">
        <f>IF(B15="","",MAX(0,ROUND(P15-Q15-R15,2)))</f>
        <v/>
      </c>
      <c r="T15" s="41">
        <f>IF(B15="","",ROUND(S15/PAY_PERIODS,2))</f>
        <v/>
      </c>
      <c r="U15" s="12">
        <f>IF(B15="","",IF('Employee master'!S12&lt;&gt;"Yes",0,ROUND(MIN(L15,UIF_CEILING)*UIF_RATE,2)))</f>
        <v/>
      </c>
      <c r="V15" s="10" t="n"/>
      <c r="W15" s="12">
        <f>IF(B15="","",ROUND(T15+U15+M15+N(V15),2))</f>
        <v/>
      </c>
      <c r="X15" s="41">
        <f>IF(B15="","",ROUND(L15-W15,2))</f>
        <v/>
      </c>
      <c r="Y15" s="12">
        <f>IF(B15="","",IF('Employee master'!S12&lt;&gt;"Yes",0,ROUND(MIN(L15,UIF_CEILING)*UIF_RATE_ER,2)))</f>
        <v/>
      </c>
      <c r="Z15" s="12">
        <f>IF(B15="","",ROUND(L15*SDL_RATE*SDL_ON,2))</f>
        <v/>
      </c>
      <c r="AA15" s="12">
        <f>IF(B15="","",ROUND(MIN(L15,COIDA_MONTH)*COIDA_TARIFF/100,2))</f>
        <v/>
      </c>
      <c r="AB15" s="12">
        <f>IF(B15="","",ROUND(L15+Y15+Z15+AA15,2))</f>
        <v/>
      </c>
      <c r="AC15" s="42">
        <f>IF(B15="","",IF('Employee master'!L12="","No hourly rate worked out",IF('Employee master'!L12&lt;NMW_RATE,"Below the minimum wage","At or above the minimum wage")))</f>
        <v/>
      </c>
    </row>
    <row r="16" ht="19" customHeight="1">
      <c r="A16" s="38" t="n">
        <v>5</v>
      </c>
      <c r="B16" s="39">
        <f>IF('Employee master'!A13="","",'Employee master'!A13)</f>
        <v/>
      </c>
      <c r="C16" s="39">
        <f>IF('Employee master'!A13="","",'Employee master'!B13)</f>
        <v/>
      </c>
      <c r="D16" s="13">
        <f>IF('Employee master'!A13="","",'Employee master'!N13)</f>
        <v/>
      </c>
      <c r="E16" s="12">
        <f>IF(B16="","",IF('Employee master'!H13="Hourly",ROUND(N('Employee master'!J13)*N(F16),2),N('Employee master'!I13)))</f>
        <v/>
      </c>
      <c r="F16" s="40" t="n"/>
      <c r="G16" s="40" t="n"/>
      <c r="H16" s="12">
        <f>IF(B16="","",ROUND(N('Employee master'!L13)*OT_MULT*N(G16),2))</f>
        <v/>
      </c>
      <c r="I16" s="10" t="n"/>
      <c r="J16" s="10" t="n"/>
      <c r="K16" s="10" t="n"/>
      <c r="L16" s="41">
        <f>IF(B16="","",ROUND(N(E16)+N(H16)+N(I16)+N(J16)+N(K16),2))</f>
        <v/>
      </c>
      <c r="M16" s="12">
        <f>IF(B16="","",ROUND(N(E16)*N('Employee master'!R13),2))</f>
        <v/>
      </c>
      <c r="N16" s="12">
        <f>IF(B16="","",MAX(0,ROUND(L16-M16,2)))</f>
        <v/>
      </c>
      <c r="O16" s="12">
        <f>IF(B16="","",ROUND(N16*PAY_PERIODS,2))</f>
        <v/>
      </c>
      <c r="P16" s="12">
        <f>IF(B16="","",IF(O16&lt;=0,0,ROUND(LOOKUP(O16,TAX_FROM,TAX_BASE)+LOOKUP(O16,TAX_FROM,TAX_RATE)*(O16-LOOKUP(O16,TAX_FROM,TAX_ABOVE)),2)))</f>
        <v/>
      </c>
      <c r="Q16" s="12">
        <f>IF(B16="","",REBATE_1+IF(N(D16)&gt;=AGE_2,REBATE_2,0)+IF(N(D16)&gt;=AGE_3,REBATE_3,0))</f>
        <v/>
      </c>
      <c r="R16" s="12">
        <f>IF(B16="","",ROUND(N('Employee master'!Q13)*PAY_PERIODS,2))</f>
        <v/>
      </c>
      <c r="S16" s="12">
        <f>IF(B16="","",MAX(0,ROUND(P16-Q16-R16,2)))</f>
        <v/>
      </c>
      <c r="T16" s="41">
        <f>IF(B16="","",ROUND(S16/PAY_PERIODS,2))</f>
        <v/>
      </c>
      <c r="U16" s="12">
        <f>IF(B16="","",IF('Employee master'!S13&lt;&gt;"Yes",0,ROUND(MIN(L16,UIF_CEILING)*UIF_RATE,2)))</f>
        <v/>
      </c>
      <c r="V16" s="10" t="n"/>
      <c r="W16" s="12">
        <f>IF(B16="","",ROUND(T16+U16+M16+N(V16),2))</f>
        <v/>
      </c>
      <c r="X16" s="41">
        <f>IF(B16="","",ROUND(L16-W16,2))</f>
        <v/>
      </c>
      <c r="Y16" s="12">
        <f>IF(B16="","",IF('Employee master'!S13&lt;&gt;"Yes",0,ROUND(MIN(L16,UIF_CEILING)*UIF_RATE_ER,2)))</f>
        <v/>
      </c>
      <c r="Z16" s="12">
        <f>IF(B16="","",ROUND(L16*SDL_RATE*SDL_ON,2))</f>
        <v/>
      </c>
      <c r="AA16" s="12">
        <f>IF(B16="","",ROUND(MIN(L16,COIDA_MONTH)*COIDA_TARIFF/100,2))</f>
        <v/>
      </c>
      <c r="AB16" s="12">
        <f>IF(B16="","",ROUND(L16+Y16+Z16+AA16,2))</f>
        <v/>
      </c>
      <c r="AC16" s="42">
        <f>IF(B16="","",IF('Employee master'!L13="","No hourly rate worked out",IF('Employee master'!L13&lt;NMW_RATE,"Below the minimum wage","At or above the minimum wage")))</f>
        <v/>
      </c>
    </row>
    <row r="17" ht="19" customHeight="1">
      <c r="A17" s="38" t="n">
        <v>6</v>
      </c>
      <c r="B17" s="39">
        <f>IF('Employee master'!A14="","",'Employee master'!A14)</f>
        <v/>
      </c>
      <c r="C17" s="39">
        <f>IF('Employee master'!A14="","",'Employee master'!B14)</f>
        <v/>
      </c>
      <c r="D17" s="13">
        <f>IF('Employee master'!A14="","",'Employee master'!N14)</f>
        <v/>
      </c>
      <c r="E17" s="12">
        <f>IF(B17="","",IF('Employee master'!H14="Hourly",ROUND(N('Employee master'!J14)*N(F17),2),N('Employee master'!I14)))</f>
        <v/>
      </c>
      <c r="F17" s="40" t="n"/>
      <c r="G17" s="40" t="n"/>
      <c r="H17" s="12">
        <f>IF(B17="","",ROUND(N('Employee master'!L14)*OT_MULT*N(G17),2))</f>
        <v/>
      </c>
      <c r="I17" s="10" t="n"/>
      <c r="J17" s="10" t="n"/>
      <c r="K17" s="10" t="n"/>
      <c r="L17" s="41">
        <f>IF(B17="","",ROUND(N(E17)+N(H17)+N(I17)+N(J17)+N(K17),2))</f>
        <v/>
      </c>
      <c r="M17" s="12">
        <f>IF(B17="","",ROUND(N(E17)*N('Employee master'!R14),2))</f>
        <v/>
      </c>
      <c r="N17" s="12">
        <f>IF(B17="","",MAX(0,ROUND(L17-M17,2)))</f>
        <v/>
      </c>
      <c r="O17" s="12">
        <f>IF(B17="","",ROUND(N17*PAY_PERIODS,2))</f>
        <v/>
      </c>
      <c r="P17" s="12">
        <f>IF(B17="","",IF(O17&lt;=0,0,ROUND(LOOKUP(O17,TAX_FROM,TAX_BASE)+LOOKUP(O17,TAX_FROM,TAX_RATE)*(O17-LOOKUP(O17,TAX_FROM,TAX_ABOVE)),2)))</f>
        <v/>
      </c>
      <c r="Q17" s="12">
        <f>IF(B17="","",REBATE_1+IF(N(D17)&gt;=AGE_2,REBATE_2,0)+IF(N(D17)&gt;=AGE_3,REBATE_3,0))</f>
        <v/>
      </c>
      <c r="R17" s="12">
        <f>IF(B17="","",ROUND(N('Employee master'!Q14)*PAY_PERIODS,2))</f>
        <v/>
      </c>
      <c r="S17" s="12">
        <f>IF(B17="","",MAX(0,ROUND(P17-Q17-R17,2)))</f>
        <v/>
      </c>
      <c r="T17" s="41">
        <f>IF(B17="","",ROUND(S17/PAY_PERIODS,2))</f>
        <v/>
      </c>
      <c r="U17" s="12">
        <f>IF(B17="","",IF('Employee master'!S14&lt;&gt;"Yes",0,ROUND(MIN(L17,UIF_CEILING)*UIF_RATE,2)))</f>
        <v/>
      </c>
      <c r="V17" s="10" t="n"/>
      <c r="W17" s="12">
        <f>IF(B17="","",ROUND(T17+U17+M17+N(V17),2))</f>
        <v/>
      </c>
      <c r="X17" s="41">
        <f>IF(B17="","",ROUND(L17-W17,2))</f>
        <v/>
      </c>
      <c r="Y17" s="12">
        <f>IF(B17="","",IF('Employee master'!S14&lt;&gt;"Yes",0,ROUND(MIN(L17,UIF_CEILING)*UIF_RATE_ER,2)))</f>
        <v/>
      </c>
      <c r="Z17" s="12">
        <f>IF(B17="","",ROUND(L17*SDL_RATE*SDL_ON,2))</f>
        <v/>
      </c>
      <c r="AA17" s="12">
        <f>IF(B17="","",ROUND(MIN(L17,COIDA_MONTH)*COIDA_TARIFF/100,2))</f>
        <v/>
      </c>
      <c r="AB17" s="12">
        <f>IF(B17="","",ROUND(L17+Y17+Z17+AA17,2))</f>
        <v/>
      </c>
      <c r="AC17" s="42">
        <f>IF(B17="","",IF('Employee master'!L14="","No hourly rate worked out",IF('Employee master'!L14&lt;NMW_RATE,"Below the minimum wage","At or above the minimum wage")))</f>
        <v/>
      </c>
    </row>
    <row r="18" ht="19" customHeight="1">
      <c r="A18" s="38" t="n">
        <v>7</v>
      </c>
      <c r="B18" s="39">
        <f>IF('Employee master'!A15="","",'Employee master'!A15)</f>
        <v/>
      </c>
      <c r="C18" s="39">
        <f>IF('Employee master'!A15="","",'Employee master'!B15)</f>
        <v/>
      </c>
      <c r="D18" s="13">
        <f>IF('Employee master'!A15="","",'Employee master'!N15)</f>
        <v/>
      </c>
      <c r="E18" s="12">
        <f>IF(B18="","",IF('Employee master'!H15="Hourly",ROUND(N('Employee master'!J15)*N(F18),2),N('Employee master'!I15)))</f>
        <v/>
      </c>
      <c r="F18" s="40" t="n"/>
      <c r="G18" s="40" t="n"/>
      <c r="H18" s="12">
        <f>IF(B18="","",ROUND(N('Employee master'!L15)*OT_MULT*N(G18),2))</f>
        <v/>
      </c>
      <c r="I18" s="10" t="n"/>
      <c r="J18" s="10" t="n"/>
      <c r="K18" s="10" t="n"/>
      <c r="L18" s="41">
        <f>IF(B18="","",ROUND(N(E18)+N(H18)+N(I18)+N(J18)+N(K18),2))</f>
        <v/>
      </c>
      <c r="M18" s="12">
        <f>IF(B18="","",ROUND(N(E18)*N('Employee master'!R15),2))</f>
        <v/>
      </c>
      <c r="N18" s="12">
        <f>IF(B18="","",MAX(0,ROUND(L18-M18,2)))</f>
        <v/>
      </c>
      <c r="O18" s="12">
        <f>IF(B18="","",ROUND(N18*PAY_PERIODS,2))</f>
        <v/>
      </c>
      <c r="P18" s="12">
        <f>IF(B18="","",IF(O18&lt;=0,0,ROUND(LOOKUP(O18,TAX_FROM,TAX_BASE)+LOOKUP(O18,TAX_FROM,TAX_RATE)*(O18-LOOKUP(O18,TAX_FROM,TAX_ABOVE)),2)))</f>
        <v/>
      </c>
      <c r="Q18" s="12">
        <f>IF(B18="","",REBATE_1+IF(N(D18)&gt;=AGE_2,REBATE_2,0)+IF(N(D18)&gt;=AGE_3,REBATE_3,0))</f>
        <v/>
      </c>
      <c r="R18" s="12">
        <f>IF(B18="","",ROUND(N('Employee master'!Q15)*PAY_PERIODS,2))</f>
        <v/>
      </c>
      <c r="S18" s="12">
        <f>IF(B18="","",MAX(0,ROUND(P18-Q18-R18,2)))</f>
        <v/>
      </c>
      <c r="T18" s="41">
        <f>IF(B18="","",ROUND(S18/PAY_PERIODS,2))</f>
        <v/>
      </c>
      <c r="U18" s="12">
        <f>IF(B18="","",IF('Employee master'!S15&lt;&gt;"Yes",0,ROUND(MIN(L18,UIF_CEILING)*UIF_RATE,2)))</f>
        <v/>
      </c>
      <c r="V18" s="10" t="n"/>
      <c r="W18" s="12">
        <f>IF(B18="","",ROUND(T18+U18+M18+N(V18),2))</f>
        <v/>
      </c>
      <c r="X18" s="41">
        <f>IF(B18="","",ROUND(L18-W18,2))</f>
        <v/>
      </c>
      <c r="Y18" s="12">
        <f>IF(B18="","",IF('Employee master'!S15&lt;&gt;"Yes",0,ROUND(MIN(L18,UIF_CEILING)*UIF_RATE_ER,2)))</f>
        <v/>
      </c>
      <c r="Z18" s="12">
        <f>IF(B18="","",ROUND(L18*SDL_RATE*SDL_ON,2))</f>
        <v/>
      </c>
      <c r="AA18" s="12">
        <f>IF(B18="","",ROUND(MIN(L18,COIDA_MONTH)*COIDA_TARIFF/100,2))</f>
        <v/>
      </c>
      <c r="AB18" s="12">
        <f>IF(B18="","",ROUND(L18+Y18+Z18+AA18,2))</f>
        <v/>
      </c>
      <c r="AC18" s="42">
        <f>IF(B18="","",IF('Employee master'!L15="","No hourly rate worked out",IF('Employee master'!L15&lt;NMW_RATE,"Below the minimum wage","At or above the minimum wage")))</f>
        <v/>
      </c>
    </row>
    <row r="19" ht="19" customHeight="1">
      <c r="A19" s="38" t="n">
        <v>8</v>
      </c>
      <c r="B19" s="39">
        <f>IF('Employee master'!A16="","",'Employee master'!A16)</f>
        <v/>
      </c>
      <c r="C19" s="39">
        <f>IF('Employee master'!A16="","",'Employee master'!B16)</f>
        <v/>
      </c>
      <c r="D19" s="13">
        <f>IF('Employee master'!A16="","",'Employee master'!N16)</f>
        <v/>
      </c>
      <c r="E19" s="12">
        <f>IF(B19="","",IF('Employee master'!H16="Hourly",ROUND(N('Employee master'!J16)*N(F19),2),N('Employee master'!I16)))</f>
        <v/>
      </c>
      <c r="F19" s="40" t="n"/>
      <c r="G19" s="40" t="n"/>
      <c r="H19" s="12">
        <f>IF(B19="","",ROUND(N('Employee master'!L16)*OT_MULT*N(G19),2))</f>
        <v/>
      </c>
      <c r="I19" s="10" t="n"/>
      <c r="J19" s="10" t="n"/>
      <c r="K19" s="10" t="n"/>
      <c r="L19" s="41">
        <f>IF(B19="","",ROUND(N(E19)+N(H19)+N(I19)+N(J19)+N(K19),2))</f>
        <v/>
      </c>
      <c r="M19" s="12">
        <f>IF(B19="","",ROUND(N(E19)*N('Employee master'!R16),2))</f>
        <v/>
      </c>
      <c r="N19" s="12">
        <f>IF(B19="","",MAX(0,ROUND(L19-M19,2)))</f>
        <v/>
      </c>
      <c r="O19" s="12">
        <f>IF(B19="","",ROUND(N19*PAY_PERIODS,2))</f>
        <v/>
      </c>
      <c r="P19" s="12">
        <f>IF(B19="","",IF(O19&lt;=0,0,ROUND(LOOKUP(O19,TAX_FROM,TAX_BASE)+LOOKUP(O19,TAX_FROM,TAX_RATE)*(O19-LOOKUP(O19,TAX_FROM,TAX_ABOVE)),2)))</f>
        <v/>
      </c>
      <c r="Q19" s="12">
        <f>IF(B19="","",REBATE_1+IF(N(D19)&gt;=AGE_2,REBATE_2,0)+IF(N(D19)&gt;=AGE_3,REBATE_3,0))</f>
        <v/>
      </c>
      <c r="R19" s="12">
        <f>IF(B19="","",ROUND(N('Employee master'!Q16)*PAY_PERIODS,2))</f>
        <v/>
      </c>
      <c r="S19" s="12">
        <f>IF(B19="","",MAX(0,ROUND(P19-Q19-R19,2)))</f>
        <v/>
      </c>
      <c r="T19" s="41">
        <f>IF(B19="","",ROUND(S19/PAY_PERIODS,2))</f>
        <v/>
      </c>
      <c r="U19" s="12">
        <f>IF(B19="","",IF('Employee master'!S16&lt;&gt;"Yes",0,ROUND(MIN(L19,UIF_CEILING)*UIF_RATE,2)))</f>
        <v/>
      </c>
      <c r="V19" s="10" t="n"/>
      <c r="W19" s="12">
        <f>IF(B19="","",ROUND(T19+U19+M19+N(V19),2))</f>
        <v/>
      </c>
      <c r="X19" s="41">
        <f>IF(B19="","",ROUND(L19-W19,2))</f>
        <v/>
      </c>
      <c r="Y19" s="12">
        <f>IF(B19="","",IF('Employee master'!S16&lt;&gt;"Yes",0,ROUND(MIN(L19,UIF_CEILING)*UIF_RATE_ER,2)))</f>
        <v/>
      </c>
      <c r="Z19" s="12">
        <f>IF(B19="","",ROUND(L19*SDL_RATE*SDL_ON,2))</f>
        <v/>
      </c>
      <c r="AA19" s="12">
        <f>IF(B19="","",ROUND(MIN(L19,COIDA_MONTH)*COIDA_TARIFF/100,2))</f>
        <v/>
      </c>
      <c r="AB19" s="12">
        <f>IF(B19="","",ROUND(L19+Y19+Z19+AA19,2))</f>
        <v/>
      </c>
      <c r="AC19" s="42">
        <f>IF(B19="","",IF('Employee master'!L16="","No hourly rate worked out",IF('Employee master'!L16&lt;NMW_RATE,"Below the minimum wage","At or above the minimum wage")))</f>
        <v/>
      </c>
    </row>
    <row r="20" ht="19" customHeight="1">
      <c r="A20" s="38" t="n">
        <v>9</v>
      </c>
      <c r="B20" s="39">
        <f>IF('Employee master'!A17="","",'Employee master'!A17)</f>
        <v/>
      </c>
      <c r="C20" s="39">
        <f>IF('Employee master'!A17="","",'Employee master'!B17)</f>
        <v/>
      </c>
      <c r="D20" s="13">
        <f>IF('Employee master'!A17="","",'Employee master'!N17)</f>
        <v/>
      </c>
      <c r="E20" s="12">
        <f>IF(B20="","",IF('Employee master'!H17="Hourly",ROUND(N('Employee master'!J17)*N(F20),2),N('Employee master'!I17)))</f>
        <v/>
      </c>
      <c r="F20" s="40" t="n"/>
      <c r="G20" s="40" t="n"/>
      <c r="H20" s="12">
        <f>IF(B20="","",ROUND(N('Employee master'!L17)*OT_MULT*N(G20),2))</f>
        <v/>
      </c>
      <c r="I20" s="10" t="n"/>
      <c r="J20" s="10" t="n"/>
      <c r="K20" s="10" t="n"/>
      <c r="L20" s="41">
        <f>IF(B20="","",ROUND(N(E20)+N(H20)+N(I20)+N(J20)+N(K20),2))</f>
        <v/>
      </c>
      <c r="M20" s="12">
        <f>IF(B20="","",ROUND(N(E20)*N('Employee master'!R17),2))</f>
        <v/>
      </c>
      <c r="N20" s="12">
        <f>IF(B20="","",MAX(0,ROUND(L20-M20,2)))</f>
        <v/>
      </c>
      <c r="O20" s="12">
        <f>IF(B20="","",ROUND(N20*PAY_PERIODS,2))</f>
        <v/>
      </c>
      <c r="P20" s="12">
        <f>IF(B20="","",IF(O20&lt;=0,0,ROUND(LOOKUP(O20,TAX_FROM,TAX_BASE)+LOOKUP(O20,TAX_FROM,TAX_RATE)*(O20-LOOKUP(O20,TAX_FROM,TAX_ABOVE)),2)))</f>
        <v/>
      </c>
      <c r="Q20" s="12">
        <f>IF(B20="","",REBATE_1+IF(N(D20)&gt;=AGE_2,REBATE_2,0)+IF(N(D20)&gt;=AGE_3,REBATE_3,0))</f>
        <v/>
      </c>
      <c r="R20" s="12">
        <f>IF(B20="","",ROUND(N('Employee master'!Q17)*PAY_PERIODS,2))</f>
        <v/>
      </c>
      <c r="S20" s="12">
        <f>IF(B20="","",MAX(0,ROUND(P20-Q20-R20,2)))</f>
        <v/>
      </c>
      <c r="T20" s="41">
        <f>IF(B20="","",ROUND(S20/PAY_PERIODS,2))</f>
        <v/>
      </c>
      <c r="U20" s="12">
        <f>IF(B20="","",IF('Employee master'!S17&lt;&gt;"Yes",0,ROUND(MIN(L20,UIF_CEILING)*UIF_RATE,2)))</f>
        <v/>
      </c>
      <c r="V20" s="10" t="n"/>
      <c r="W20" s="12">
        <f>IF(B20="","",ROUND(T20+U20+M20+N(V20),2))</f>
        <v/>
      </c>
      <c r="X20" s="41">
        <f>IF(B20="","",ROUND(L20-W20,2))</f>
        <v/>
      </c>
      <c r="Y20" s="12">
        <f>IF(B20="","",IF('Employee master'!S17&lt;&gt;"Yes",0,ROUND(MIN(L20,UIF_CEILING)*UIF_RATE_ER,2)))</f>
        <v/>
      </c>
      <c r="Z20" s="12">
        <f>IF(B20="","",ROUND(L20*SDL_RATE*SDL_ON,2))</f>
        <v/>
      </c>
      <c r="AA20" s="12">
        <f>IF(B20="","",ROUND(MIN(L20,COIDA_MONTH)*COIDA_TARIFF/100,2))</f>
        <v/>
      </c>
      <c r="AB20" s="12">
        <f>IF(B20="","",ROUND(L20+Y20+Z20+AA20,2))</f>
        <v/>
      </c>
      <c r="AC20" s="42">
        <f>IF(B20="","",IF('Employee master'!L17="","No hourly rate worked out",IF('Employee master'!L17&lt;NMW_RATE,"Below the minimum wage","At or above the minimum wage")))</f>
        <v/>
      </c>
    </row>
    <row r="21" ht="19" customHeight="1">
      <c r="A21" s="38" t="n">
        <v>10</v>
      </c>
      <c r="B21" s="39">
        <f>IF('Employee master'!A18="","",'Employee master'!A18)</f>
        <v/>
      </c>
      <c r="C21" s="39">
        <f>IF('Employee master'!A18="","",'Employee master'!B18)</f>
        <v/>
      </c>
      <c r="D21" s="13">
        <f>IF('Employee master'!A18="","",'Employee master'!N18)</f>
        <v/>
      </c>
      <c r="E21" s="12">
        <f>IF(B21="","",IF('Employee master'!H18="Hourly",ROUND(N('Employee master'!J18)*N(F21),2),N('Employee master'!I18)))</f>
        <v/>
      </c>
      <c r="F21" s="40" t="n"/>
      <c r="G21" s="40" t="n"/>
      <c r="H21" s="12">
        <f>IF(B21="","",ROUND(N('Employee master'!L18)*OT_MULT*N(G21),2))</f>
        <v/>
      </c>
      <c r="I21" s="10" t="n"/>
      <c r="J21" s="10" t="n"/>
      <c r="K21" s="10" t="n"/>
      <c r="L21" s="41">
        <f>IF(B21="","",ROUND(N(E21)+N(H21)+N(I21)+N(J21)+N(K21),2))</f>
        <v/>
      </c>
      <c r="M21" s="12">
        <f>IF(B21="","",ROUND(N(E21)*N('Employee master'!R18),2))</f>
        <v/>
      </c>
      <c r="N21" s="12">
        <f>IF(B21="","",MAX(0,ROUND(L21-M21,2)))</f>
        <v/>
      </c>
      <c r="O21" s="12">
        <f>IF(B21="","",ROUND(N21*PAY_PERIODS,2))</f>
        <v/>
      </c>
      <c r="P21" s="12">
        <f>IF(B21="","",IF(O21&lt;=0,0,ROUND(LOOKUP(O21,TAX_FROM,TAX_BASE)+LOOKUP(O21,TAX_FROM,TAX_RATE)*(O21-LOOKUP(O21,TAX_FROM,TAX_ABOVE)),2)))</f>
        <v/>
      </c>
      <c r="Q21" s="12">
        <f>IF(B21="","",REBATE_1+IF(N(D21)&gt;=AGE_2,REBATE_2,0)+IF(N(D21)&gt;=AGE_3,REBATE_3,0))</f>
        <v/>
      </c>
      <c r="R21" s="12">
        <f>IF(B21="","",ROUND(N('Employee master'!Q18)*PAY_PERIODS,2))</f>
        <v/>
      </c>
      <c r="S21" s="12">
        <f>IF(B21="","",MAX(0,ROUND(P21-Q21-R21,2)))</f>
        <v/>
      </c>
      <c r="T21" s="41">
        <f>IF(B21="","",ROUND(S21/PAY_PERIODS,2))</f>
        <v/>
      </c>
      <c r="U21" s="12">
        <f>IF(B21="","",IF('Employee master'!S18&lt;&gt;"Yes",0,ROUND(MIN(L21,UIF_CEILING)*UIF_RATE,2)))</f>
        <v/>
      </c>
      <c r="V21" s="10" t="n"/>
      <c r="W21" s="12">
        <f>IF(B21="","",ROUND(T21+U21+M21+N(V21),2))</f>
        <v/>
      </c>
      <c r="X21" s="41">
        <f>IF(B21="","",ROUND(L21-W21,2))</f>
        <v/>
      </c>
      <c r="Y21" s="12">
        <f>IF(B21="","",IF('Employee master'!S18&lt;&gt;"Yes",0,ROUND(MIN(L21,UIF_CEILING)*UIF_RATE_ER,2)))</f>
        <v/>
      </c>
      <c r="Z21" s="12">
        <f>IF(B21="","",ROUND(L21*SDL_RATE*SDL_ON,2))</f>
        <v/>
      </c>
      <c r="AA21" s="12">
        <f>IF(B21="","",ROUND(MIN(L21,COIDA_MONTH)*COIDA_TARIFF/100,2))</f>
        <v/>
      </c>
      <c r="AB21" s="12">
        <f>IF(B21="","",ROUND(L21+Y21+Z21+AA21,2))</f>
        <v/>
      </c>
      <c r="AC21" s="42">
        <f>IF(B21="","",IF('Employee master'!L18="","No hourly rate worked out",IF('Employee master'!L18&lt;NMW_RATE,"Below the minimum wage","At or above the minimum wage")))</f>
        <v/>
      </c>
    </row>
    <row r="22" ht="19" customHeight="1">
      <c r="A22" s="38" t="n">
        <v>11</v>
      </c>
      <c r="B22" s="39">
        <f>IF('Employee master'!A19="","",'Employee master'!A19)</f>
        <v/>
      </c>
      <c r="C22" s="39">
        <f>IF('Employee master'!A19="","",'Employee master'!B19)</f>
        <v/>
      </c>
      <c r="D22" s="13">
        <f>IF('Employee master'!A19="","",'Employee master'!N19)</f>
        <v/>
      </c>
      <c r="E22" s="12">
        <f>IF(B22="","",IF('Employee master'!H19="Hourly",ROUND(N('Employee master'!J19)*N(F22),2),N('Employee master'!I19)))</f>
        <v/>
      </c>
      <c r="F22" s="40" t="n"/>
      <c r="G22" s="40" t="n"/>
      <c r="H22" s="12">
        <f>IF(B22="","",ROUND(N('Employee master'!L19)*OT_MULT*N(G22),2))</f>
        <v/>
      </c>
      <c r="I22" s="10" t="n"/>
      <c r="J22" s="10" t="n"/>
      <c r="K22" s="10" t="n"/>
      <c r="L22" s="41">
        <f>IF(B22="","",ROUND(N(E22)+N(H22)+N(I22)+N(J22)+N(K22),2))</f>
        <v/>
      </c>
      <c r="M22" s="12">
        <f>IF(B22="","",ROUND(N(E22)*N('Employee master'!R19),2))</f>
        <v/>
      </c>
      <c r="N22" s="12">
        <f>IF(B22="","",MAX(0,ROUND(L22-M22,2)))</f>
        <v/>
      </c>
      <c r="O22" s="12">
        <f>IF(B22="","",ROUND(N22*PAY_PERIODS,2))</f>
        <v/>
      </c>
      <c r="P22" s="12">
        <f>IF(B22="","",IF(O22&lt;=0,0,ROUND(LOOKUP(O22,TAX_FROM,TAX_BASE)+LOOKUP(O22,TAX_FROM,TAX_RATE)*(O22-LOOKUP(O22,TAX_FROM,TAX_ABOVE)),2)))</f>
        <v/>
      </c>
      <c r="Q22" s="12">
        <f>IF(B22="","",REBATE_1+IF(N(D22)&gt;=AGE_2,REBATE_2,0)+IF(N(D22)&gt;=AGE_3,REBATE_3,0))</f>
        <v/>
      </c>
      <c r="R22" s="12">
        <f>IF(B22="","",ROUND(N('Employee master'!Q19)*PAY_PERIODS,2))</f>
        <v/>
      </c>
      <c r="S22" s="12">
        <f>IF(B22="","",MAX(0,ROUND(P22-Q22-R22,2)))</f>
        <v/>
      </c>
      <c r="T22" s="41">
        <f>IF(B22="","",ROUND(S22/PAY_PERIODS,2))</f>
        <v/>
      </c>
      <c r="U22" s="12">
        <f>IF(B22="","",IF('Employee master'!S19&lt;&gt;"Yes",0,ROUND(MIN(L22,UIF_CEILING)*UIF_RATE,2)))</f>
        <v/>
      </c>
      <c r="V22" s="10" t="n"/>
      <c r="W22" s="12">
        <f>IF(B22="","",ROUND(T22+U22+M22+N(V22),2))</f>
        <v/>
      </c>
      <c r="X22" s="41">
        <f>IF(B22="","",ROUND(L22-W22,2))</f>
        <v/>
      </c>
      <c r="Y22" s="12">
        <f>IF(B22="","",IF('Employee master'!S19&lt;&gt;"Yes",0,ROUND(MIN(L22,UIF_CEILING)*UIF_RATE_ER,2)))</f>
        <v/>
      </c>
      <c r="Z22" s="12">
        <f>IF(B22="","",ROUND(L22*SDL_RATE*SDL_ON,2))</f>
        <v/>
      </c>
      <c r="AA22" s="12">
        <f>IF(B22="","",ROUND(MIN(L22,COIDA_MONTH)*COIDA_TARIFF/100,2))</f>
        <v/>
      </c>
      <c r="AB22" s="12">
        <f>IF(B22="","",ROUND(L22+Y22+Z22+AA22,2))</f>
        <v/>
      </c>
      <c r="AC22" s="42">
        <f>IF(B22="","",IF('Employee master'!L19="","No hourly rate worked out",IF('Employee master'!L19&lt;NMW_RATE,"Below the minimum wage","At or above the minimum wage")))</f>
        <v/>
      </c>
    </row>
    <row r="23" ht="19" customHeight="1">
      <c r="A23" s="38" t="n">
        <v>12</v>
      </c>
      <c r="B23" s="39">
        <f>IF('Employee master'!A20="","",'Employee master'!A20)</f>
        <v/>
      </c>
      <c r="C23" s="39">
        <f>IF('Employee master'!A20="","",'Employee master'!B20)</f>
        <v/>
      </c>
      <c r="D23" s="13">
        <f>IF('Employee master'!A20="","",'Employee master'!N20)</f>
        <v/>
      </c>
      <c r="E23" s="12">
        <f>IF(B23="","",IF('Employee master'!H20="Hourly",ROUND(N('Employee master'!J20)*N(F23),2),N('Employee master'!I20)))</f>
        <v/>
      </c>
      <c r="F23" s="40" t="n"/>
      <c r="G23" s="40" t="n"/>
      <c r="H23" s="12">
        <f>IF(B23="","",ROUND(N('Employee master'!L20)*OT_MULT*N(G23),2))</f>
        <v/>
      </c>
      <c r="I23" s="10" t="n"/>
      <c r="J23" s="10" t="n"/>
      <c r="K23" s="10" t="n"/>
      <c r="L23" s="41">
        <f>IF(B23="","",ROUND(N(E23)+N(H23)+N(I23)+N(J23)+N(K23),2))</f>
        <v/>
      </c>
      <c r="M23" s="12">
        <f>IF(B23="","",ROUND(N(E23)*N('Employee master'!R20),2))</f>
        <v/>
      </c>
      <c r="N23" s="12">
        <f>IF(B23="","",MAX(0,ROUND(L23-M23,2)))</f>
        <v/>
      </c>
      <c r="O23" s="12">
        <f>IF(B23="","",ROUND(N23*PAY_PERIODS,2))</f>
        <v/>
      </c>
      <c r="P23" s="12">
        <f>IF(B23="","",IF(O23&lt;=0,0,ROUND(LOOKUP(O23,TAX_FROM,TAX_BASE)+LOOKUP(O23,TAX_FROM,TAX_RATE)*(O23-LOOKUP(O23,TAX_FROM,TAX_ABOVE)),2)))</f>
        <v/>
      </c>
      <c r="Q23" s="12">
        <f>IF(B23="","",REBATE_1+IF(N(D23)&gt;=AGE_2,REBATE_2,0)+IF(N(D23)&gt;=AGE_3,REBATE_3,0))</f>
        <v/>
      </c>
      <c r="R23" s="12">
        <f>IF(B23="","",ROUND(N('Employee master'!Q20)*PAY_PERIODS,2))</f>
        <v/>
      </c>
      <c r="S23" s="12">
        <f>IF(B23="","",MAX(0,ROUND(P23-Q23-R23,2)))</f>
        <v/>
      </c>
      <c r="T23" s="41">
        <f>IF(B23="","",ROUND(S23/PAY_PERIODS,2))</f>
        <v/>
      </c>
      <c r="U23" s="12">
        <f>IF(B23="","",IF('Employee master'!S20&lt;&gt;"Yes",0,ROUND(MIN(L23,UIF_CEILING)*UIF_RATE,2)))</f>
        <v/>
      </c>
      <c r="V23" s="10" t="n"/>
      <c r="W23" s="12">
        <f>IF(B23="","",ROUND(T23+U23+M23+N(V23),2))</f>
        <v/>
      </c>
      <c r="X23" s="41">
        <f>IF(B23="","",ROUND(L23-W23,2))</f>
        <v/>
      </c>
      <c r="Y23" s="12">
        <f>IF(B23="","",IF('Employee master'!S20&lt;&gt;"Yes",0,ROUND(MIN(L23,UIF_CEILING)*UIF_RATE_ER,2)))</f>
        <v/>
      </c>
      <c r="Z23" s="12">
        <f>IF(B23="","",ROUND(L23*SDL_RATE*SDL_ON,2))</f>
        <v/>
      </c>
      <c r="AA23" s="12">
        <f>IF(B23="","",ROUND(MIN(L23,COIDA_MONTH)*COIDA_TARIFF/100,2))</f>
        <v/>
      </c>
      <c r="AB23" s="12">
        <f>IF(B23="","",ROUND(L23+Y23+Z23+AA23,2))</f>
        <v/>
      </c>
      <c r="AC23" s="42">
        <f>IF(B23="","",IF('Employee master'!L20="","No hourly rate worked out",IF('Employee master'!L20&lt;NMW_RATE,"Below the minimum wage","At or above the minimum wage")))</f>
        <v/>
      </c>
    </row>
    <row r="24" ht="22" customHeight="1">
      <c r="A24" s="43" t="inlineStr">
        <is>
          <t>TOTAL</t>
        </is>
      </c>
      <c r="B24" s="44" t="n"/>
      <c r="C24" s="44" t="n"/>
      <c r="D24" s="44" t="n"/>
      <c r="E24" s="45">
        <f>ROUND(SUM(E12:E23),2)</f>
        <v/>
      </c>
      <c r="F24" s="44" t="n"/>
      <c r="G24" s="46">
        <f>ROUND(SUM(G12:G23),2)</f>
        <v/>
      </c>
      <c r="H24" s="45">
        <f>ROUND(SUM(H12:H23),2)</f>
        <v/>
      </c>
      <c r="I24" s="45">
        <f>ROUND(SUM(I12:I23),2)</f>
        <v/>
      </c>
      <c r="J24" s="45">
        <f>ROUND(SUM(J12:J23),2)</f>
        <v/>
      </c>
      <c r="K24" s="45">
        <f>ROUND(SUM(K12:K23),2)</f>
        <v/>
      </c>
      <c r="L24" s="47">
        <f>ROUND(SUM(L12:L23),2)</f>
        <v/>
      </c>
      <c r="M24" s="45">
        <f>ROUND(SUM(M12:M23),2)</f>
        <v/>
      </c>
      <c r="N24" s="45">
        <f>ROUND(SUM(N12:N23),2)</f>
        <v/>
      </c>
      <c r="O24" s="44" t="n"/>
      <c r="P24" s="44" t="n"/>
      <c r="Q24" s="44" t="n"/>
      <c r="R24" s="44" t="n"/>
      <c r="S24" s="44" t="n"/>
      <c r="T24" s="45">
        <f>ROUND(SUM(T12:T23),2)</f>
        <v/>
      </c>
      <c r="U24" s="45">
        <f>ROUND(SUM(U12:U23),2)</f>
        <v/>
      </c>
      <c r="V24" s="45">
        <f>ROUND(SUM(V12:V23),2)</f>
        <v/>
      </c>
      <c r="W24" s="45">
        <f>ROUND(SUM(W12:W23),2)</f>
        <v/>
      </c>
      <c r="X24" s="47">
        <f>ROUND(SUM(X12:X23),2)</f>
        <v/>
      </c>
      <c r="Y24" s="45">
        <f>ROUND(SUM(Y12:Y23),2)</f>
        <v/>
      </c>
      <c r="Z24" s="45">
        <f>ROUND(SUM(Z12:Z23),2)</f>
        <v/>
      </c>
      <c r="AA24" s="45">
        <f>ROUND(SUM(AA12:AA23),2)</f>
        <v/>
      </c>
      <c r="AB24" s="45">
        <f>ROUND(SUM(AB12:AB23),2)</f>
        <v/>
      </c>
      <c r="AC24" s="44" t="n"/>
    </row>
    <row r="26" ht="22" customHeight="1">
      <c r="A26" s="15" t="inlineStr">
        <is>
          <t>READING THE PAYE WORKING</t>
        </is>
      </c>
      <c r="B26" s="16" t="n"/>
      <c r="C26" s="16" t="n"/>
      <c r="D26" s="16" t="n"/>
      <c r="E26" s="16" t="n"/>
      <c r="F26" s="16" t="n"/>
      <c r="G26" s="16" t="n"/>
      <c r="H26" s="16" t="n"/>
      <c r="I26" s="16" t="n"/>
      <c r="J26" s="16" t="n"/>
      <c r="K26" s="16" t="n"/>
      <c r="L26" s="16" t="n"/>
      <c r="M26" s="16" t="n"/>
      <c r="N26" s="16" t="n"/>
      <c r="O26" s="16" t="n"/>
      <c r="P26" s="16" t="n"/>
      <c r="Q26" s="16" t="n"/>
      <c r="R26" s="16" t="n"/>
      <c r="S26" s="16" t="n"/>
      <c r="T26" s="16" t="n"/>
      <c r="U26" s="16" t="n"/>
      <c r="V26" s="16" t="n"/>
      <c r="W26" s="16" t="n"/>
      <c r="X26" s="16" t="n"/>
      <c r="Y26" s="16" t="n"/>
      <c r="Z26" s="16" t="n"/>
      <c r="AA26" s="16" t="n"/>
      <c r="AB26" s="16" t="n"/>
      <c r="AC26" s="16" t="n"/>
    </row>
    <row r="27" ht="30" customHeight="1">
      <c r="A27" s="18" t="inlineStr">
        <is>
          <t>Note: Columns O to T are the whole PAYE calculation, in the order SARS requires it. Column O takes the month's taxable income and multiplies it by 12, because tax brackets are annual. Column P runs that annual figure through the bracket table on the rates sheet. Column Q takes off the rebates the employee's age entitles them to. Column R takes off a year of medical scheme credit. Column S is the tax for the year, floored at nil. Column T divides it back by 12.</t>
        </is>
      </c>
    </row>
    <row r="28" ht="18" customHeight="1">
      <c r="A28" s="18" t="inlineStr">
        <is>
          <t>Note: The floor at nil in column S matters. For an employee under the tax threshold the rebates and the medical credit come to more than the tax, so the answer would be negative. A payroll must never pay tax to an employee. The medical credit can only reduce PAYE to nil.</t>
        </is>
      </c>
    </row>
    <row r="29" ht="18" customHeight="1">
      <c r="A29" s="18" t="inlineStr">
        <is>
          <t>Note: Gross remuneration in column L is what UIF, SDL and COIDA are worked out on. Taxable income in column N is what PAYE is worked out on. They are different because the employee's own pension or provident contribution comes off before tax but not before UIF.</t>
        </is>
      </c>
    </row>
    <row r="30" ht="18" customHeight="1">
      <c r="A30" s="18" t="inlineStr">
        <is>
          <t>Note: Columns Y, Z and AA are not deductions. They are costs the business carries on top of the wage. Column AB is what an employee really costs you, which is always more than the salary you agreed.</t>
        </is>
      </c>
    </row>
    <row r="31" ht="18" customHeight="1">
      <c r="A31" s="18" t="inlineStr">
        <is>
          <t>Note: Overtime is paid at the multiple on the rates sheet, which starts at the BCEA minimum of 1.5 times. Pull the hours off the C1 weekly timesheet, which already splits ordinary hours from overtime and checks them against the BCEA limits.</t>
        </is>
      </c>
    </row>
    <row r="32" ht="18" customHeight="1">
      <c r="A32" s="17" t="inlineStr">
        <is>
          <t>Important: The unpaid leave or adjustment column takes a negative number. Use it for a month with unpaid leave or short time, so that gross remuneration and therefore the PAYE, the UIF and the SDL all come down together. Do not use the other deductions column for it: that one comes off after tax.</t>
        </is>
      </c>
    </row>
    <row r="33" ht="18" customHeight="1">
      <c r="A33" s="18" t="inlineStr">
        <is>
          <t>Note: How to use this sheet: type only in the white cells, which show in blue text. The shaded cells work themselves out, so leave them alone. Notes in grey italic are guidance and can be deleted before you send the document.</t>
        </is>
      </c>
    </row>
  </sheetData>
  <mergeCells count="14">
    <mergeCell ref="A33:AC33"/>
    <mergeCell ref="A1:AC1"/>
    <mergeCell ref="A32:AC32"/>
    <mergeCell ref="AB6:AC6"/>
    <mergeCell ref="A31:AC31"/>
    <mergeCell ref="A9:AC9"/>
    <mergeCell ref="A27:AC27"/>
    <mergeCell ref="AB5:AC5"/>
    <mergeCell ref="A30:AC30"/>
    <mergeCell ref="A29:AC29"/>
    <mergeCell ref="A26:AC26"/>
    <mergeCell ref="A2:AC2"/>
    <mergeCell ref="AB4:AC4"/>
    <mergeCell ref="A28:AC28"/>
  </mergeCells>
  <conditionalFormatting sqref="A9:AC9">
    <cfRule type="expression" priority="1" dxfId="0">
      <formula>COUNTIF(AC12:AC23,"Below the minimum wage")&gt;0</formula>
    </cfRule>
    <cfRule type="expression" priority="2" dxfId="1">
      <formula>COUNTIF(AC12:AC23,"Below the minimum wage")=0</formula>
    </cfRule>
  </conditionalFormatting>
  <conditionalFormatting sqref="AC12:AC23">
    <cfRule type="expression" priority="3" dxfId="2">
      <formula>AC12="Below the minimum wage"</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21759B"/>
    <outlinePr summaryBelow="1" summaryRight="1"/>
    <pageSetUpPr fitToPage="1"/>
  </sheetPr>
  <dimension ref="A1:F68"/>
  <sheetViews>
    <sheetView showGridLines="0" workbookViewId="0">
      <pane ySplit="9" topLeftCell="A10" activePane="bottomLeft" state="frozen"/>
      <selection pane="bottomLeft" activeCell="A1" sqref="A1"/>
    </sheetView>
  </sheetViews>
  <sheetFormatPr baseColWidth="8" defaultRowHeight="15"/>
  <cols>
    <col width="40" customWidth="1" min="1" max="1"/>
    <col width="20" customWidth="1" min="2" max="2"/>
    <col width="16" customWidth="1" min="3" max="3"/>
    <col width="30" customWidth="1" min="4" max="4"/>
    <col width="18" customWidth="1" min="5" max="5"/>
    <col width="16" customWidth="1" min="6" max="6"/>
  </cols>
  <sheetData>
    <row r="1" ht="26" customHeight="1">
      <c r="A1" s="1" t="inlineStr">
        <is>
          <t>PAYSLIP</t>
        </is>
      </c>
    </row>
    <row r="2" ht="14" customHeight="1">
      <c r="A2" s="2" t="inlineStr">
        <is>
          <t>Template B9 | Everything section 33 of the BCEA requires. Pick the employee and print.</t>
        </is>
      </c>
    </row>
    <row r="3" ht="4" customHeight="1">
      <c r="A3" s="3" t="n"/>
      <c r="B3" s="3" t="n"/>
      <c r="C3" s="3" t="n"/>
      <c r="D3" s="3" t="n"/>
      <c r="E3" s="3" t="n"/>
      <c r="F3" s="3" t="n"/>
    </row>
    <row r="4" ht="15" customHeight="1">
      <c r="A4" s="4" t="inlineStr">
        <is>
          <t>[YOUR COMPANY NAME]</t>
        </is>
      </c>
      <c r="E4" s="5" t="inlineStr">
        <is>
          <t>[ Insert your logo in the space above ]</t>
        </is>
      </c>
    </row>
    <row r="5" ht="15" customHeight="1">
      <c r="A5" s="6" t="inlineStr">
        <is>
          <t>Reg No: [XXXX/XXXXXX/XX]</t>
        </is>
      </c>
      <c r="E5" s="5" t="inlineStr">
        <is>
          <t>VAT No: [4XXXXXXXXX] (if VAT registered)</t>
        </is>
      </c>
    </row>
    <row r="6" ht="15" customHeight="1">
      <c r="A6" s="6" t="inlineStr">
        <is>
          <t>[email@yourbusiness.co.za]</t>
        </is>
      </c>
      <c r="E6" s="5" t="inlineStr">
        <is>
          <t>[+27 XX XXX XXXX]</t>
        </is>
      </c>
    </row>
    <row r="8" ht="22" customHeight="1">
      <c r="A8" s="48" t="inlineStr">
        <is>
          <t>Show the payslip for employee number</t>
        </is>
      </c>
      <c r="C8" s="49" t="inlineStr">
        <is>
          <t>EMP003</t>
        </is>
      </c>
    </row>
    <row r="9">
      <c r="A9" s="50" t="inlineStr">
        <is>
          <t>Row found in the payroll register</t>
        </is>
      </c>
      <c r="C9" s="32">
        <f>IFERROR(MATCH(C8,REG_NO,0),0)</f>
        <v/>
      </c>
      <c r="D9" s="50" t="inlineStr">
        <is>
          <t>0 means that employee number is not in the register.</t>
        </is>
      </c>
    </row>
    <row r="10" ht="22" customHeight="1">
      <c r="A10" s="15" t="inlineStr">
        <is>
          <t>THE EMPLOYER</t>
        </is>
      </c>
      <c r="B10" s="16" t="n"/>
      <c r="C10" s="16" t="n"/>
      <c r="D10" s="16" t="n"/>
      <c r="E10" s="16" t="n"/>
      <c r="F10" s="16" t="n"/>
    </row>
    <row r="11" ht="19" customHeight="1">
      <c r="A11" s="19" t="inlineStr">
        <is>
          <t>Employer name</t>
        </is>
      </c>
      <c r="B11" s="49" t="inlineStr">
        <is>
          <t>[YOUR COMPANY NAME]</t>
        </is>
      </c>
      <c r="C11" s="51" t="n"/>
      <c r="D11" s="52" t="n"/>
    </row>
    <row r="12" ht="19" customHeight="1">
      <c r="A12" s="19" t="inlineStr">
        <is>
          <t>Employer address</t>
        </is>
      </c>
      <c r="B12" s="49" t="inlineStr">
        <is>
          <t>[Street address, suburb, city, postal code]</t>
        </is>
      </c>
      <c r="C12" s="51" t="n"/>
      <c r="D12" s="52" t="n"/>
    </row>
    <row r="13" ht="19" customHeight="1">
      <c r="A13" s="19" t="inlineStr">
        <is>
          <t>PAYE reference number</t>
        </is>
      </c>
      <c r="B13" s="49" t="inlineStr">
        <is>
          <t>[7XXXXXXXXX]</t>
        </is>
      </c>
      <c r="C13" s="51" t="n"/>
      <c r="D13" s="52" t="n"/>
    </row>
    <row r="14" ht="19" customHeight="1">
      <c r="A14" s="19" t="inlineStr">
        <is>
          <t>UIF reference number</t>
        </is>
      </c>
      <c r="B14" s="49" t="inlineStr">
        <is>
          <t>[XXXXXXX/X]</t>
        </is>
      </c>
      <c r="C14" s="51" t="n"/>
      <c r="D14" s="52" t="n"/>
    </row>
    <row r="15" ht="18" customHeight="1">
      <c r="A15" s="18" t="inlineStr">
        <is>
          <t>Note: The employer's name and address are required by section 33(1)(a). A payslip without them is not compliant.</t>
        </is>
      </c>
    </row>
    <row r="16" ht="22" customHeight="1">
      <c r="A16" s="15" t="inlineStr">
        <is>
          <t>THE EMPLOYEE</t>
        </is>
      </c>
      <c r="B16" s="16" t="n"/>
      <c r="C16" s="16" t="n"/>
      <c r="D16" s="16" t="n"/>
      <c r="E16" s="16" t="n"/>
      <c r="F16" s="16" t="n"/>
    </row>
    <row r="17" ht="19" customHeight="1">
      <c r="A17" s="19" t="inlineStr">
        <is>
          <t>Employee name</t>
        </is>
      </c>
      <c r="B17" s="36">
        <f>IF(C9=0,"",INDEX(REG_ALL,C9,3))</f>
        <v/>
      </c>
      <c r="C17" s="51" t="n"/>
      <c r="D17" s="52" t="n"/>
    </row>
    <row r="18" ht="19" customHeight="1">
      <c r="A18" s="19" t="inlineStr">
        <is>
          <t>Occupation</t>
        </is>
      </c>
      <c r="B18" s="36">
        <f>IF(C9=0,"",INDEX(MST_ALL,MATCH(C8,MST_NO,0),6))</f>
        <v/>
      </c>
      <c r="C18" s="51" t="n"/>
      <c r="D18" s="52" t="n"/>
    </row>
    <row r="19" ht="19" customHeight="1">
      <c r="A19" s="19" t="inlineStr">
        <is>
          <t>Employee number</t>
        </is>
      </c>
      <c r="B19" s="36">
        <f>IF(C9=0,"",INDEX(REG_ALL,C9,2))</f>
        <v/>
      </c>
      <c r="C19" s="51" t="n"/>
      <c r="D19" s="52" t="n"/>
    </row>
    <row r="20" ht="19" customHeight="1">
      <c r="A20" s="19" t="inlineStr">
        <is>
          <t>Identity or passport number</t>
        </is>
      </c>
      <c r="B20" s="36">
        <f>IF(C9=0,"",INDEX(MST_ALL,MATCH(C8,MST_NO,0),3))</f>
        <v/>
      </c>
      <c r="C20" s="51" t="n"/>
      <c r="D20" s="52" t="n"/>
    </row>
    <row r="21" ht="19" customHeight="1">
      <c r="A21" s="19" t="inlineStr">
        <is>
          <t>Income tax reference number</t>
        </is>
      </c>
      <c r="B21" s="36">
        <f>IF(C9=0,"",INDEX(MST_ALL,MATCH(C8,MST_NO,0),4))</f>
        <v/>
      </c>
      <c r="C21" s="51" t="n"/>
      <c r="D21" s="52" t="n"/>
    </row>
    <row r="22" ht="19" customHeight="1">
      <c r="A22" s="19" t="inlineStr">
        <is>
          <t>Date started</t>
        </is>
      </c>
      <c r="B22" s="36">
        <f>IF(C9=0,"",INDEX(MST_ALL,MATCH(C8,MST_NO,0),5))</f>
        <v/>
      </c>
      <c r="C22" s="51" t="n"/>
      <c r="D22" s="52" t="n"/>
    </row>
    <row r="23" ht="22" customHeight="1">
      <c r="A23" s="15" t="inlineStr">
        <is>
          <t>THE PAY PERIOD</t>
        </is>
      </c>
      <c r="B23" s="16" t="n"/>
      <c r="C23" s="16" t="n"/>
      <c r="D23" s="16" t="n"/>
      <c r="E23" s="16" t="n"/>
      <c r="F23" s="16" t="n"/>
    </row>
    <row r="24" ht="19" customHeight="1">
      <c r="A24" s="19" t="inlineStr">
        <is>
          <t>Period from</t>
        </is>
      </c>
      <c r="B24" s="53">
        <f>IF(PAY_PERIOD_END="","",EOMONTH(PAY_PERIOD_END,-1)+1)</f>
        <v/>
      </c>
      <c r="C24" s="19" t="inlineStr">
        <is>
          <t>Period to</t>
        </is>
      </c>
      <c r="D24" s="53">
        <f>IF(PAY_PERIOD_END="","",PAY_PERIOD_END)</f>
        <v/>
      </c>
    </row>
    <row r="25" ht="19" customHeight="1">
      <c r="A25" s="19" t="inlineStr">
        <is>
          <t>Date paid</t>
        </is>
      </c>
      <c r="B25" s="54" t="n">
        <v>46265</v>
      </c>
      <c r="C25" s="19" t="inlineStr">
        <is>
          <t>Paid into</t>
        </is>
      </c>
      <c r="D25" s="36">
        <f>IF(C9=0,"",INDEX(MST_ALL,MATCH(C8,MST_NO,0),20)&amp;" "&amp;INDEX(MST_ALL,MATCH(C8,MST_NO,0),22))</f>
        <v/>
      </c>
    </row>
    <row r="26" ht="22" customHeight="1">
      <c r="A26" s="15" t="inlineStr">
        <is>
          <t>RATES AND HOURS</t>
        </is>
      </c>
      <c r="B26" s="16" t="n"/>
      <c r="C26" s="16" t="n"/>
      <c r="D26" s="16" t="n"/>
      <c r="E26" s="16" t="n"/>
      <c r="F26" s="16" t="n"/>
    </row>
    <row r="27" ht="26" customHeight="1">
      <c r="A27" s="7" t="inlineStr">
        <is>
          <t>WHAT IS BEING MEASURED</t>
        </is>
      </c>
      <c r="B27" s="7" t="inlineStr">
        <is>
          <t>AMOUNT</t>
        </is>
      </c>
      <c r="C27" s="7" t="n"/>
      <c r="D27" s="7" t="inlineStr">
        <is>
          <t>WHAT IS BEING MEASURED</t>
        </is>
      </c>
      <c r="E27" s="7" t="inlineStr">
        <is>
          <t>AMOUNT</t>
        </is>
      </c>
      <c r="F27" s="52" t="n"/>
    </row>
    <row r="28" ht="22" customHeight="1">
      <c r="A28" s="55" t="inlineStr">
        <is>
          <t>Rate an ordinary hour</t>
        </is>
      </c>
      <c r="B28" s="30">
        <f>IF(C9=0,"",INDEX(MST_ALL,MATCH(C8,MST_NO,0),12))</f>
        <v/>
      </c>
      <c r="D28" s="55" t="inlineStr">
        <is>
          <t>Ordinary hours worked in the month</t>
        </is>
      </c>
      <c r="E28" s="56">
        <f>IF(C9=0,"",IF(N(INDEX(REG_ALL,C9,6))&gt;0,INDEX(REG_ALL,C9,6),ROUND(N(INDEX(MST_ALL,MATCH(C8,MST_NO,0),11))*WEEKS_MONTH,2)))</f>
        <v/>
      </c>
    </row>
    <row r="29" ht="22" customHeight="1">
      <c r="A29" s="55" t="inlineStr">
        <is>
          <t>Overtime rate an hour</t>
        </is>
      </c>
      <c r="B29" s="30">
        <f>IF(C9=0,"",ROUND(N(INDEX(MST_ALL,MATCH(C8,MST_NO,0),12))*OT_MULT,2))</f>
        <v/>
      </c>
      <c r="D29" s="55" t="inlineStr">
        <is>
          <t>Overtime hours worked in the month</t>
        </is>
      </c>
      <c r="E29" s="56">
        <f>IF(C9=0,"",INDEX(REG_ALL,C9,7))</f>
        <v/>
      </c>
    </row>
    <row r="30" ht="22" customHeight="1">
      <c r="A30" s="55" t="inlineStr">
        <is>
          <t>Hours worked on a Sunday or a public holiday</t>
        </is>
      </c>
      <c r="B30" s="33" t="n"/>
      <c r="D30" s="55" t="inlineStr">
        <is>
          <t>Rate paid for those hours</t>
        </is>
      </c>
      <c r="E30" s="49" t="n"/>
    </row>
    <row r="31" ht="42" customHeight="1">
      <c r="A31" s="18" t="inlineStr">
        <is>
          <t>Note: Section 33(1)(g) requires the rate of pay, the overtime rate, the ordinary and overtime hours, and the hours worked on a Sunday or a public holiday, wherever those matter to how the pay was worked out. Take the Sunday and public holiday hours off the C1 weekly timesheet, which counts them separately and applies the right multiple.</t>
        </is>
      </c>
    </row>
    <row r="32" ht="22" customHeight="1">
      <c r="A32" s="15" t="inlineStr">
        <is>
          <t>EARNINGS</t>
        </is>
      </c>
      <c r="B32" s="16" t="n"/>
      <c r="C32" s="16" t="n"/>
      <c r="D32" s="16" t="n"/>
      <c r="E32" s="16" t="n"/>
      <c r="F32" s="16" t="n"/>
    </row>
    <row r="33" ht="26" customHeight="1">
      <c r="A33" s="7" t="inlineStr">
        <is>
          <t>WHAT IS BEING PAID</t>
        </is>
      </c>
      <c r="B33" s="7" t="inlineStr">
        <is>
          <t>AMOUNT</t>
        </is>
      </c>
      <c r="C33" s="7" t="n"/>
      <c r="D33" s="51" t="n"/>
      <c r="E33" s="51" t="n"/>
      <c r="F33" s="52" t="n"/>
    </row>
    <row r="34" ht="19" customHeight="1">
      <c r="A34" s="19" t="inlineStr">
        <is>
          <t>Basic pay</t>
        </is>
      </c>
      <c r="B34" s="30">
        <f>IF(C9=0,"",INDEX(REG_ALL,C9,5))</f>
        <v/>
      </c>
    </row>
    <row r="35" ht="19" customHeight="1">
      <c r="A35" s="19" t="inlineStr">
        <is>
          <t>Overtime pay</t>
        </is>
      </c>
      <c r="B35" s="30">
        <f>IF(C9=0,"",INDEX(REG_ALL,C9,8))</f>
        <v/>
      </c>
    </row>
    <row r="36" ht="19" customHeight="1">
      <c r="A36" s="19" t="inlineStr">
        <is>
          <t>Allowances</t>
        </is>
      </c>
      <c r="B36" s="30">
        <f>IF(C9=0,"",INDEX(REG_ALL,C9,9))</f>
        <v/>
      </c>
    </row>
    <row r="37" ht="19" customHeight="1">
      <c r="A37" s="19" t="inlineStr">
        <is>
          <t>Taxable fringe benefits</t>
        </is>
      </c>
      <c r="B37" s="30">
        <f>IF(C9=0,"",INDEX(REG_ALL,C9,10))</f>
        <v/>
      </c>
    </row>
    <row r="38" ht="19" customHeight="1">
      <c r="A38" s="19" t="inlineStr">
        <is>
          <t>Unpaid leave or adjustment</t>
        </is>
      </c>
      <c r="B38" s="30">
        <f>IF(C9=0,"",INDEX(REG_ALL,C9,11))</f>
        <v/>
      </c>
    </row>
    <row r="39" ht="22" customHeight="1">
      <c r="A39" s="43" t="inlineStr">
        <is>
          <t>GROSS REMUNERATION</t>
        </is>
      </c>
      <c r="B39" s="57">
        <f>IF(C9=0,"",INDEX(REG_ALL,C9,12))</f>
        <v/>
      </c>
      <c r="C39" s="44" t="n"/>
      <c r="D39" s="44" t="n"/>
      <c r="E39" s="44" t="n"/>
      <c r="F39" s="44" t="n"/>
    </row>
    <row r="40" ht="22" customHeight="1">
      <c r="A40" s="15" t="inlineStr">
        <is>
          <t>DEDUCTIONS, AND WHAT EACH ONE IS FOR</t>
        </is>
      </c>
      <c r="B40" s="16" t="n"/>
      <c r="C40" s="16" t="n"/>
      <c r="D40" s="16" t="n"/>
      <c r="E40" s="16" t="n"/>
      <c r="F40" s="16" t="n"/>
    </row>
    <row r="41" ht="26" customHeight="1">
      <c r="A41" s="7" t="inlineStr">
        <is>
          <t>WHAT IS BEING DEDUCTED</t>
        </is>
      </c>
      <c r="B41" s="7" t="inlineStr">
        <is>
          <t>AMOUNT</t>
        </is>
      </c>
      <c r="C41" s="7" t="inlineStr">
        <is>
          <t>WHY IT MAY LAWFULLY BE DEDUCTED</t>
        </is>
      </c>
      <c r="D41" s="51" t="n"/>
      <c r="E41" s="51" t="n"/>
      <c r="F41" s="52" t="n"/>
    </row>
    <row r="42" ht="24" customHeight="1">
      <c r="A42" s="19" t="inlineStr">
        <is>
          <t>PAYE, employees tax</t>
        </is>
      </c>
      <c r="B42" s="30">
        <f>IF(C9=0,"",INDEX(REG_ALL,C9,20))</f>
        <v/>
      </c>
      <c r="C42" s="21" t="inlineStr">
        <is>
          <t>Required by the Fourth Schedule to the Income Tax Act. No written agreement needed.</t>
        </is>
      </c>
    </row>
    <row r="43" ht="24" customHeight="1">
      <c r="A43" s="19" t="inlineStr">
        <is>
          <t>UIF, the employee's 1%</t>
        </is>
      </c>
      <c r="B43" s="30">
        <f>IF(C9=0,"",INDEX(REG_ALL,C9,21))</f>
        <v/>
      </c>
      <c r="C43" s="21" t="inlineStr">
        <is>
          <t>Required by the Unemployment Insurance Contributions Act. No written agreement needed.</t>
        </is>
      </c>
    </row>
    <row r="44" ht="24" customHeight="1">
      <c r="A44" s="19" t="inlineStr">
        <is>
          <t>Pension or provident fund</t>
        </is>
      </c>
      <c r="B44" s="30">
        <f>IF(C9=0,"",INDEX(REG_ALL,C9,13))</f>
        <v/>
      </c>
      <c r="C44" s="21" t="inlineStr">
        <is>
          <t>The employee agreed to it in writing. It must be paid over to the fund.</t>
        </is>
      </c>
    </row>
    <row r="45" ht="24" customHeight="1">
      <c r="A45" s="19" t="inlineStr">
        <is>
          <t>Other deductions</t>
        </is>
      </c>
      <c r="B45" s="30">
        <f>IF(C9=0,"",INDEX(REG_ALL,C9,22))</f>
        <v/>
      </c>
      <c r="C45" s="21" t="inlineStr">
        <is>
          <t>Only if a law, a court order or a written agreement for a named debt allows it, BCEA section 34.</t>
        </is>
      </c>
    </row>
    <row r="46" ht="22" customHeight="1">
      <c r="A46" s="43" t="inlineStr">
        <is>
          <t>TOTAL DEDUCTIONS</t>
        </is>
      </c>
      <c r="B46" s="57">
        <f>IF(C9=0,"",INDEX(REG_ALL,C9,23))</f>
        <v/>
      </c>
      <c r="C46" s="44" t="n"/>
      <c r="D46" s="44" t="n"/>
      <c r="E46" s="44" t="n"/>
      <c r="F46" s="44" t="n"/>
    </row>
    <row r="47" ht="26" customHeight="1">
      <c r="A47" s="58" t="inlineStr">
        <is>
          <t>NET PAY, THE ACTUAL AMOUNT PAID</t>
        </is>
      </c>
      <c r="B47" s="59">
        <f>IF(C9=0,"",INDEX(REG_ALL,C9,24))</f>
        <v/>
      </c>
      <c r="C47" s="16" t="n"/>
      <c r="D47" s="16" t="n"/>
      <c r="E47" s="16" t="n"/>
      <c r="F47" s="16" t="n"/>
    </row>
    <row r="48" ht="30" customHeight="1">
      <c r="A48" s="18" t="inlineStr">
        <is>
          <t>Note: Section 33(1)(f) calls this the actual amount paid to the employee. It is the only number most people look at, and it is the one the bank transfer must match.</t>
        </is>
      </c>
    </row>
    <row r="49" ht="22" customHeight="1">
      <c r="A49" s="15" t="inlineStr">
        <is>
          <t>HOW THE PAYE ABOVE WAS WORKED OUT</t>
        </is>
      </c>
      <c r="B49" s="16" t="n"/>
      <c r="C49" s="16" t="n"/>
      <c r="D49" s="16" t="n"/>
      <c r="E49" s="16" t="n"/>
      <c r="F49" s="16" t="n"/>
    </row>
    <row r="50" ht="18" customHeight="1">
      <c r="A50" s="60" t="inlineStr">
        <is>
          <t>Monthly taxable income, after the pension</t>
        </is>
      </c>
      <c r="B50" s="12">
        <f>IF(C9=0,"",INDEX(REG_ALL,C9,14))</f>
        <v/>
      </c>
    </row>
    <row r="51" ht="18" customHeight="1">
      <c r="A51" s="60" t="inlineStr">
        <is>
          <t>Multiplied by 12, the annual equivalent</t>
        </is>
      </c>
      <c r="B51" s="12">
        <f>IF(C9=0,"",INDEX(REG_ALL,C9,15))</f>
        <v/>
      </c>
    </row>
    <row r="52" ht="18" customHeight="1">
      <c r="A52" s="60" t="inlineStr">
        <is>
          <t>Tax on that, from the SARS bracket table</t>
        </is>
      </c>
      <c r="B52" s="12">
        <f>IF(C9=0,"",INDEX(REG_ALL,C9,16))</f>
        <v/>
      </c>
    </row>
    <row r="53" ht="18" customHeight="1">
      <c r="A53" s="60" t="inlineStr">
        <is>
          <t>Less the rebates for this employee's age</t>
        </is>
      </c>
      <c r="B53" s="12">
        <f>IF(C9=0,"",INDEX(REG_ALL,C9,17))</f>
        <v/>
      </c>
    </row>
    <row r="54" ht="18" customHeight="1">
      <c r="A54" s="60" t="inlineStr">
        <is>
          <t>Less a year of medical scheme tax credit</t>
        </is>
      </c>
      <c r="B54" s="12">
        <f>IF(C9=0,"",INDEX(REG_ALL,C9,18))</f>
        <v/>
      </c>
    </row>
    <row r="55" ht="18" customHeight="1">
      <c r="A55" s="60" t="inlineStr">
        <is>
          <t>Tax for the year, never less than nil</t>
        </is>
      </c>
      <c r="B55" s="12">
        <f>IF(C9=0,"",INDEX(REG_ALL,C9,19))</f>
        <v/>
      </c>
    </row>
    <row r="56" ht="18" customHeight="1">
      <c r="A56" s="60" t="inlineStr">
        <is>
          <t>Divided back by 12, the PAYE for this month</t>
        </is>
      </c>
      <c r="B56" s="12">
        <f>IF(C9=0,"",INDEX(REG_ALL,C9,20))</f>
        <v/>
      </c>
    </row>
    <row r="57" ht="22" customHeight="1">
      <c r="A57" s="15" t="inlineStr">
        <is>
          <t>WHAT THE BUSINESS PAYS ON TOP, NOT DEDUCTED FROM THE EMPLOYEE</t>
        </is>
      </c>
      <c r="B57" s="16" t="n"/>
      <c r="C57" s="16" t="n"/>
      <c r="D57" s="16" t="n"/>
      <c r="E57" s="16" t="n"/>
      <c r="F57" s="16" t="n"/>
    </row>
    <row r="58" ht="19" customHeight="1">
      <c r="A58" s="19" t="inlineStr">
        <is>
          <t>UIF, the employer's 1%</t>
        </is>
      </c>
      <c r="B58" s="30">
        <f>IF(C9=0,"",INDEX(REG_ALL,C9,25))</f>
        <v/>
      </c>
    </row>
    <row r="59" ht="19" customHeight="1">
      <c r="A59" s="19" t="inlineStr">
        <is>
          <t>Skills Development Levy</t>
        </is>
      </c>
      <c r="B59" s="30">
        <f>IF(C9=0,"",INDEX(REG_ALL,C9,26))</f>
        <v/>
      </c>
    </row>
    <row r="60" ht="19" customHeight="1">
      <c r="A60" s="19" t="inlineStr">
        <is>
          <t>COIDA provision for the year's assessment</t>
        </is>
      </c>
      <c r="B60" s="30">
        <f>IF(C9=0,"",INDEX(REG_ALL,C9,27))</f>
        <v/>
      </c>
    </row>
    <row r="61" ht="22" customHeight="1">
      <c r="A61" s="43" t="inlineStr">
        <is>
          <t>TOTAL COST OF THIS EMPLOYEE</t>
        </is>
      </c>
      <c r="B61" s="57">
        <f>IF(C9=0,"",INDEX(REG_ALL,C9,28))</f>
        <v/>
      </c>
      <c r="C61" s="44" t="n"/>
      <c r="D61" s="44" t="n"/>
      <c r="E61" s="44" t="n"/>
      <c r="F61" s="44" t="n"/>
    </row>
    <row r="62" ht="30" customHeight="1">
      <c r="A62" s="18" t="inlineStr">
        <is>
          <t>Note: None of the three above comes off the employee's pay. They are shown so both sides can see the real cost of the job. Only the deductions section reduces what is paid.</t>
        </is>
      </c>
    </row>
    <row r="64" ht="22" customHeight="1">
      <c r="A64" s="15" t="inlineStr">
        <is>
          <t>RECEIVED</t>
        </is>
      </c>
      <c r="B64" s="16" t="n"/>
      <c r="C64" s="16" t="n"/>
      <c r="D64" s="16" t="n"/>
      <c r="E64" s="16" t="n"/>
      <c r="F64" s="16" t="n"/>
    </row>
    <row r="65" ht="26" customHeight="1">
      <c r="A65" s="19" t="inlineStr">
        <is>
          <t>Employee signature</t>
        </is>
      </c>
      <c r="B65" s="49" t="inlineStr">
        <is>
          <t>[Signature]</t>
        </is>
      </c>
      <c r="D65" s="19" t="inlineStr">
        <is>
          <t>Date</t>
        </is>
      </c>
      <c r="E65" s="49" t="inlineStr">
        <is>
          <t>[DD Month YYYY]</t>
        </is>
      </c>
    </row>
    <row r="66" ht="30" customHeight="1">
      <c r="A66" s="18" t="inlineStr">
        <is>
          <t>Note: A signature is not required by section 33, but it is useful proof that the payslip was handed over. The Act requires the payslip to be given at the workplace, during working hours or within 15 minutes of the start or end of them. Email is fine if the employee agreed to it.</t>
        </is>
      </c>
    </row>
    <row r="67" ht="30" customHeight="1">
      <c r="A67" s="18" t="inlineStr">
        <is>
          <t>Note: Keep a copy of every payslip. The BCEA wants the payroll record for 3 years from the last entry, the Tax Administration Act wants it for 5 years, and COIDA wants earnings records for 4 years. Keep everything for 5 years and you have covered all three.</t>
        </is>
      </c>
    </row>
    <row r="68" ht="30" customHeight="1">
      <c r="A68" s="18" t="inlineStr">
        <is>
          <t>Note: How to use this sheet: type only in the white cells, which show in blue text. The shaded cells work themselves out, so leave them alone. Notes in grey italic are guidance and can be deleted before you send the document.</t>
        </is>
      </c>
    </row>
  </sheetData>
  <mergeCells count="38">
    <mergeCell ref="B11:D11"/>
    <mergeCell ref="A16:F16"/>
    <mergeCell ref="B14:D14"/>
    <mergeCell ref="A66:F66"/>
    <mergeCell ref="B17:D17"/>
    <mergeCell ref="E5:F5"/>
    <mergeCell ref="B13:D13"/>
    <mergeCell ref="A26:F26"/>
    <mergeCell ref="A57:F57"/>
    <mergeCell ref="A2:F2"/>
    <mergeCell ref="E4:F4"/>
    <mergeCell ref="B19:D19"/>
    <mergeCell ref="A23:F23"/>
    <mergeCell ref="A32:F32"/>
    <mergeCell ref="C33:F33"/>
    <mergeCell ref="A62:F62"/>
    <mergeCell ref="C42:F42"/>
    <mergeCell ref="B20:D20"/>
    <mergeCell ref="E6:F6"/>
    <mergeCell ref="A10:F10"/>
    <mergeCell ref="C45:F45"/>
    <mergeCell ref="A68:F68"/>
    <mergeCell ref="A67:F67"/>
    <mergeCell ref="E27:F27"/>
    <mergeCell ref="A31:F31"/>
    <mergeCell ref="A40:F40"/>
    <mergeCell ref="A48:F48"/>
    <mergeCell ref="C41:F41"/>
    <mergeCell ref="A15:F15"/>
    <mergeCell ref="A64:F64"/>
    <mergeCell ref="C44:F44"/>
    <mergeCell ref="A49:F49"/>
    <mergeCell ref="B22:D22"/>
    <mergeCell ref="A1:F1"/>
    <mergeCell ref="C43:F43"/>
    <mergeCell ref="B18:D18"/>
    <mergeCell ref="B21:D21"/>
    <mergeCell ref="B12:D12"/>
  </mergeCells>
  <dataValidations count="1">
    <dataValidation sqref="C8" showDropDown="0" showInputMessage="0" showErrorMessage="1" allowBlank="1" errorTitle="Choose an employee" error="Pick an employee number from the master." type="list">
      <formula1>=MST_NO</formula1>
    </dataValidation>
  </dataValidations>
  <pageMargins left="0.5" right="0.5" top="0.6" bottom="0.6" header="0.5" footer="0.5"/>
  <pageSetup orientation="portrait" paperSize="9" fitToHeight="1"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5.xml><?xml version="1.0" encoding="utf-8"?>
<worksheet xmlns="http://schemas.openxmlformats.org/spreadsheetml/2006/main">
  <sheetPr>
    <tabColor rgb="001D9E75"/>
    <outlinePr summaryBelow="1" summaryRight="1"/>
    <pageSetUpPr fitToPage="1"/>
  </sheetPr>
  <dimension ref="A1:H53"/>
  <sheetViews>
    <sheetView showGridLines="0" workbookViewId="0">
      <pane ySplit="8" topLeftCell="A9" activePane="bottomLeft" state="frozen"/>
      <selection pane="bottomLeft" activeCell="A1" sqref="A1"/>
    </sheetView>
  </sheetViews>
  <sheetFormatPr baseColWidth="8" defaultRowHeight="15"/>
  <cols>
    <col width="46" customWidth="1" min="1" max="1"/>
    <col width="18" customWidth="1" min="2" max="2"/>
    <col width="16" customWidth="1" min="3" max="3"/>
    <col width="16" customWidth="1" min="4" max="4"/>
    <col width="16" customWidth="1" min="5" max="5"/>
    <col width="16" customWidth="1" min="6" max="6"/>
    <col width="16" customWidth="1" min="7" max="7"/>
    <col width="22" customWidth="1" min="8" max="8"/>
  </cols>
  <sheetData>
    <row r="1" ht="26" customHeight="1">
      <c r="A1" s="1" t="inlineStr">
        <is>
          <t>EMP201 SUMMARY AND ETI</t>
        </is>
      </c>
    </row>
    <row r="2" ht="14" customHeight="1">
      <c r="A2" s="2" t="inlineStr">
        <is>
          <t>Template B9 | What you declare and what you pay SARS for the month, with the due date worked out.</t>
        </is>
      </c>
    </row>
    <row r="3" ht="4" customHeight="1">
      <c r="A3" s="3" t="n"/>
      <c r="B3" s="3" t="n"/>
      <c r="C3" s="3" t="n"/>
      <c r="D3" s="3" t="n"/>
      <c r="E3" s="3" t="n"/>
      <c r="F3" s="3" t="n"/>
      <c r="G3" s="3" t="n"/>
      <c r="H3" s="3" t="n"/>
    </row>
    <row r="4" ht="15" customHeight="1">
      <c r="A4" s="4" t="inlineStr">
        <is>
          <t>[YOUR COMPANY NAME]</t>
        </is>
      </c>
      <c r="G4" s="5" t="inlineStr">
        <is>
          <t>[ Insert your logo in the space above ]</t>
        </is>
      </c>
    </row>
    <row r="5" ht="15" customHeight="1">
      <c r="A5" s="6" t="inlineStr">
        <is>
          <t>Reg No: [XXXX/XXXXXX/XX]</t>
        </is>
      </c>
      <c r="G5" s="5" t="inlineStr">
        <is>
          <t>VAT No: [4XXXXXXXXX] (if VAT registered)</t>
        </is>
      </c>
    </row>
    <row r="6" ht="15" customHeight="1">
      <c r="A6" s="6" t="inlineStr">
        <is>
          <t>[email@yourbusiness.co.za]</t>
        </is>
      </c>
      <c r="G6" s="5" t="inlineStr">
        <is>
          <t>[+27 XX XXX XXXX]</t>
        </is>
      </c>
    </row>
    <row r="8" ht="20" customHeight="1">
      <c r="A8" s="48" t="inlineStr">
        <is>
          <t>Payroll month</t>
        </is>
      </c>
      <c r="B8" s="36">
        <f>IF(PAY_PERIOD_END="","",TEXT(PAY_PERIOD_END,"MMMM YYYY"))</f>
        <v/>
      </c>
      <c r="C8" s="50" t="inlineStr">
        <is>
          <t>Change the month on the payroll register.</t>
        </is>
      </c>
    </row>
    <row r="10" ht="22" customHeight="1">
      <c r="A10" s="15" t="inlineStr">
        <is>
          <t>WHAT GOES ON THE EMP201</t>
        </is>
      </c>
      <c r="B10" s="16" t="n"/>
      <c r="C10" s="16" t="n"/>
      <c r="D10" s="16" t="n"/>
      <c r="E10" s="16" t="n"/>
      <c r="F10" s="16" t="n"/>
      <c r="G10" s="16" t="n"/>
      <c r="H10" s="16" t="n"/>
    </row>
    <row r="11" ht="26" customHeight="1">
      <c r="A11" s="7" t="inlineStr">
        <is>
          <t>LINE ON THE RETURN</t>
        </is>
      </c>
      <c r="B11" s="7" t="inlineStr">
        <is>
          <t>AMOUNT</t>
        </is>
      </c>
      <c r="C11" s="7" t="inlineStr">
        <is>
          <t>WHERE IT COMES FROM</t>
        </is>
      </c>
      <c r="D11" s="51" t="n"/>
      <c r="E11" s="51" t="n"/>
      <c r="F11" s="51" t="n"/>
      <c r="G11" s="51" t="n"/>
      <c r="H11" s="52" t="n"/>
    </row>
    <row r="12" ht="20" customHeight="1">
      <c r="A12" s="19" t="inlineStr">
        <is>
          <t>PAYE, employees tax</t>
        </is>
      </c>
      <c r="B12" s="30">
        <f>REG_PAYE_TOTAL</f>
        <v/>
      </c>
      <c r="C12" s="21" t="inlineStr">
        <is>
          <t>Total of the PAYE this month column on the register.</t>
        </is>
      </c>
    </row>
    <row r="13" ht="20" customHeight="1">
      <c r="A13" s="19" t="inlineStr">
        <is>
          <t>Skills Development Levy</t>
        </is>
      </c>
      <c r="B13" s="30">
        <f>REG_SDL_TOTAL</f>
        <v/>
      </c>
      <c r="C13" s="21" t="inlineStr">
        <is>
          <t>1% of total remuneration, but only if the payroll is over the threshold.</t>
        </is>
      </c>
    </row>
    <row r="14" ht="20" customHeight="1">
      <c r="A14" s="19" t="inlineStr">
        <is>
          <t>UIF, the employee's 1%</t>
        </is>
      </c>
      <c r="B14" s="30">
        <f>REG_UIF_EE_TOTAL</f>
        <v/>
      </c>
      <c r="C14" s="21" t="inlineStr">
        <is>
          <t>Deducted from the employees.</t>
        </is>
      </c>
    </row>
    <row r="15" ht="20" customHeight="1">
      <c r="A15" s="19" t="inlineStr">
        <is>
          <t>UIF, the employer's 1%</t>
        </is>
      </c>
      <c r="B15" s="30">
        <f>REG_UIF_ER_TOTAL</f>
        <v/>
      </c>
      <c r="C15" s="21" t="inlineStr">
        <is>
          <t>Paid by the business on top.</t>
        </is>
      </c>
    </row>
    <row r="16" ht="20" customHeight="1">
      <c r="A16" s="48" t="inlineStr">
        <is>
          <t>Total UIF declared</t>
        </is>
      </c>
      <c r="B16" s="61">
        <f>ROUND(B14+B15,2)</f>
        <v/>
      </c>
      <c r="C16" s="21" t="inlineStr">
        <is>
          <t>Both sides together. This is the figure the EMP201 asks for.</t>
        </is>
      </c>
    </row>
    <row r="17" ht="20" customHeight="1">
      <c r="A17" s="48" t="inlineStr">
        <is>
          <t>Payroll taxes before the incentive</t>
        </is>
      </c>
      <c r="B17" s="61">
        <f>ROUND(B12+B13+B16,2)</f>
        <v/>
      </c>
      <c r="C17" s="21" t="inlineStr">
        <is>
          <t>PAYE plus SDL plus total UIF.</t>
        </is>
      </c>
    </row>
    <row r="19" ht="22" customHeight="1">
      <c r="A19" s="15" t="inlineStr">
        <is>
          <t>EMPLOYMENT TAX INCENTIVE</t>
        </is>
      </c>
      <c r="B19" s="16" t="n"/>
      <c r="C19" s="16" t="n"/>
      <c r="D19" s="16" t="n"/>
      <c r="E19" s="16" t="n"/>
      <c r="F19" s="16" t="n"/>
      <c r="G19" s="16" t="n"/>
      <c r="H19" s="16" t="n"/>
    </row>
    <row r="20" ht="20" customHeight="1">
      <c r="A20" s="19" t="inlineStr">
        <is>
          <t>ETI brought forward from last month</t>
        </is>
      </c>
      <c r="B20" s="27" t="n">
        <v>0</v>
      </c>
      <c r="C20" s="50" t="inlineStr">
        <is>
          <t>Take this off last month's EMP201.</t>
        </is>
      </c>
    </row>
    <row r="21" ht="20" customHeight="1">
      <c r="A21" s="19" t="inlineStr">
        <is>
          <t>Incentive worked out for this month</t>
        </is>
      </c>
      <c r="B21" s="30">
        <f>H47</f>
        <v/>
      </c>
      <c r="C21" s="62" t="inlineStr">
        <is>
          <t>From the table lower down this sheet.</t>
        </is>
      </c>
    </row>
    <row r="22" ht="20" customHeight="1">
      <c r="A22" s="19" t="inlineStr">
        <is>
          <t>Incentive available to use</t>
        </is>
      </c>
      <c r="B22" s="30">
        <f>ROUND(B20+B21,2)</f>
        <v/>
      </c>
      <c r="C22" s="62" t="inlineStr">
        <is>
          <t>Brought forward plus this month.</t>
        </is>
      </c>
    </row>
    <row r="23" ht="20" customHeight="1">
      <c r="A23" s="48" t="inlineStr">
        <is>
          <t>Incentive actually used this month</t>
        </is>
      </c>
      <c r="B23" s="61">
        <f>ROUND(MIN(B22,B12),2)</f>
        <v/>
      </c>
      <c r="C23" s="62" t="inlineStr">
        <is>
          <t>Capped at the PAYE. Net PAYE can never go below nil.</t>
        </is>
      </c>
    </row>
    <row r="24" ht="20" customHeight="1">
      <c r="A24" s="19" t="inlineStr">
        <is>
          <t>Incentive carried forward to next month</t>
        </is>
      </c>
      <c r="B24" s="30">
        <f>ROUND(B22-B23,2)</f>
        <v/>
      </c>
      <c r="C24" s="62" t="inlineStr">
        <is>
          <t>Refunded at the end of the six month reconciliation period if you are tax compliant.</t>
        </is>
      </c>
    </row>
    <row r="25" ht="26" customHeight="1">
      <c r="A25" s="58" t="inlineStr">
        <is>
          <t>TOTAL PAYABLE TO SARS FOR THIS MONTH</t>
        </is>
      </c>
      <c r="B25" s="59">
        <f>ROUND(B17-B23,2)</f>
        <v/>
      </c>
      <c r="C25" s="16" t="n"/>
      <c r="D25" s="16" t="n"/>
      <c r="E25" s="16" t="n"/>
      <c r="F25" s="16" t="n"/>
      <c r="G25" s="16" t="n"/>
      <c r="H25" s="16" t="n"/>
    </row>
    <row r="27" ht="22" customHeight="1">
      <c r="A27" s="15" t="inlineStr">
        <is>
          <t>WHEN IT MUST BE PAID</t>
        </is>
      </c>
      <c r="B27" s="16" t="n"/>
      <c r="C27" s="16" t="n"/>
      <c r="D27" s="16" t="n"/>
      <c r="E27" s="16" t="n"/>
      <c r="F27" s="16" t="n"/>
      <c r="G27" s="16" t="n"/>
      <c r="H27" s="16" t="n"/>
    </row>
    <row r="28" ht="22" customHeight="1">
      <c r="A28" s="48" t="inlineStr">
        <is>
          <t>Due date for this EMP201 and the payment</t>
        </is>
      </c>
      <c r="B28" s="63">
        <f>IF(PAY_PERIOD_END="","",EOMONTH(PAY_PERIOD_END,0)+7-IF(WEEKDAY(EOMONTH(PAY_PERIOD_END,0)+7,2)=6,1,IF(WEEKDAY(EOMONTH(PAY_PERIOD_END,0)+7,2)=7,2,0)))</f>
        <v/>
      </c>
      <c r="C28" s="50" t="inlineStr">
        <is>
          <t>The 7th of the following month, moved back if it lands on a weekend.</t>
        </is>
      </c>
    </row>
    <row r="29" ht="20" customHeight="1">
      <c r="A29" s="19" t="inlineStr">
        <is>
          <t>Days left to pay</t>
        </is>
      </c>
      <c r="B29" s="32">
        <f>IF(B28="","",B28-TODAY())</f>
        <v/>
      </c>
      <c r="C29" s="50" t="inlineStr">
        <is>
          <t>A negative number means it is already late.</t>
        </is>
      </c>
    </row>
    <row r="30" ht="30" customHeight="1">
      <c r="A30" s="17" t="inlineStr">
        <is>
          <t>Important: If the 7th falls on a weekend or a public holiday the deadline moves backwards, not forwards. A 7th that lands on a Sunday means you must pay by the Friday the 5th. This catches employers out constantly. The workbook moves the date back off a weekend for you, but it does not know the public holidays, so check the date against a calendar.</t>
        </is>
      </c>
    </row>
    <row r="31" ht="30" customHeight="1">
      <c r="A31" s="17" t="inlineStr">
        <is>
          <t>Important: Paying PAYE late costs a once off penalty of 10% of the amount that should have been paid, plus interest at the SARS prescribed rate. PAYE deducted from an employee is money held in trust that was never yours, so SARS treats not paying it over far more seriously than an ordinary debt.</t>
        </is>
      </c>
    </row>
    <row r="33" ht="22" customHeight="1">
      <c r="A33" s="15" t="inlineStr">
        <is>
          <t>WORKING OUT THE INCENTIVE, EMPLOYEE BY EMPLOYEE</t>
        </is>
      </c>
      <c r="B33" s="16" t="n"/>
      <c r="C33" s="16" t="n"/>
      <c r="D33" s="16" t="n"/>
      <c r="E33" s="16" t="n"/>
      <c r="F33" s="16" t="n"/>
      <c r="G33" s="16" t="n"/>
      <c r="H33" s="16" t="n"/>
    </row>
    <row r="34" ht="40" customHeight="1">
      <c r="A34" s="7" t="inlineStr">
        <is>
          <t>EMPLOYEE</t>
        </is>
      </c>
      <c r="B34" s="7" t="inlineStr">
        <is>
          <t>GROSS REMUNERATION</t>
        </is>
      </c>
      <c r="C34" s="7" t="inlineStr">
        <is>
          <t>AGE</t>
        </is>
      </c>
      <c r="D34" s="7" t="inlineStr">
        <is>
          <t>HOURS WORKED IN THE MONTH</t>
        </is>
      </c>
      <c r="E34" s="7" t="inlineStr">
        <is>
          <t>DOES THIS EMPLOYEE QUALIFY?</t>
        </is>
      </c>
      <c r="F34" s="7" t="inlineStr">
        <is>
          <t>WHICH 12 MONTHS?</t>
        </is>
      </c>
      <c r="G34" s="7" t="inlineStr">
        <is>
          <t>GROSSED UP TO 160 HOURS</t>
        </is>
      </c>
      <c r="H34" s="7" t="inlineStr">
        <is>
          <t>ETI FOR THE MONTH</t>
        </is>
      </c>
    </row>
    <row r="35" ht="19" customHeight="1">
      <c r="A35" s="42">
        <f>'Payroll register'!C12</f>
        <v/>
      </c>
      <c r="B35" s="12">
        <f>IF('Payroll register'!B12="","",'Payroll register'!L12)</f>
        <v/>
      </c>
      <c r="C35" s="13">
        <f>IF('Payroll register'!B12="","",'Payroll register'!D12)</f>
        <v/>
      </c>
      <c r="D35" s="40" t="n"/>
      <c r="E35" s="8" t="n"/>
      <c r="F35" s="8" t="n"/>
      <c r="G35" s="12">
        <f>IF(A35="","",IF(N(D35)=0,0,ROUND(N(B35)*ETI_HOURS/D35,2)))</f>
        <v/>
      </c>
      <c r="H35" s="12">
        <f>IF(A35="","",IF(E35&lt;&gt;"Yes",0,ROUND(IF(G35&gt;=ETI_CAP,0,IF(G35&gt;=ETI_B2,IF(F35="First 12 months",ETI_M1-ETI_T1*(G35-ETI_B2),ETI_M2-ETI_T2*(G35-ETI_B2)),IF(G35&gt;=ETI_B1,IF(F35="First 12 months",ETI_M1,ETI_M2),IF(F35="First 12 months",ETI_P1,ETI_P2)*G35)))*N(D35)/ETI_HOURS,2)))</f>
        <v/>
      </c>
    </row>
    <row r="36" ht="19" customHeight="1">
      <c r="A36" s="42">
        <f>'Payroll register'!C13</f>
        <v/>
      </c>
      <c r="B36" s="12">
        <f>IF('Payroll register'!B13="","",'Payroll register'!L13)</f>
        <v/>
      </c>
      <c r="C36" s="13">
        <f>IF('Payroll register'!B13="","",'Payroll register'!D13)</f>
        <v/>
      </c>
      <c r="D36" s="40" t="n"/>
      <c r="E36" s="8" t="n"/>
      <c r="F36" s="8" t="n"/>
      <c r="G36" s="12">
        <f>IF(A36="","",IF(N(D36)=0,0,ROUND(N(B36)*ETI_HOURS/D36,2)))</f>
        <v/>
      </c>
      <c r="H36" s="12">
        <f>IF(A36="","",IF(E36&lt;&gt;"Yes",0,ROUND(IF(G36&gt;=ETI_CAP,0,IF(G36&gt;=ETI_B2,IF(F36="First 12 months",ETI_M1-ETI_T1*(G36-ETI_B2),ETI_M2-ETI_T2*(G36-ETI_B2)),IF(G36&gt;=ETI_B1,IF(F36="First 12 months",ETI_M1,ETI_M2),IF(F36="First 12 months",ETI_P1,ETI_P2)*G36)))*N(D36)/ETI_HOURS,2)))</f>
        <v/>
      </c>
    </row>
    <row r="37" ht="19" customHeight="1">
      <c r="A37" s="42">
        <f>'Payroll register'!C14</f>
        <v/>
      </c>
      <c r="B37" s="12">
        <f>IF('Payroll register'!B14="","",'Payroll register'!L14)</f>
        <v/>
      </c>
      <c r="C37" s="13">
        <f>IF('Payroll register'!B14="","",'Payroll register'!D14)</f>
        <v/>
      </c>
      <c r="D37" s="40" t="n"/>
      <c r="E37" s="8" t="n"/>
      <c r="F37" s="8" t="n"/>
      <c r="G37" s="12">
        <f>IF(A37="","",IF(N(D37)=0,0,ROUND(N(B37)*ETI_HOURS/D37,2)))</f>
        <v/>
      </c>
      <c r="H37" s="12">
        <f>IF(A37="","",IF(E37&lt;&gt;"Yes",0,ROUND(IF(G37&gt;=ETI_CAP,0,IF(G37&gt;=ETI_B2,IF(F37="First 12 months",ETI_M1-ETI_T1*(G37-ETI_B2),ETI_M2-ETI_T2*(G37-ETI_B2)),IF(G37&gt;=ETI_B1,IF(F37="First 12 months",ETI_M1,ETI_M2),IF(F37="First 12 months",ETI_P1,ETI_P2)*G37)))*N(D37)/ETI_HOURS,2)))</f>
        <v/>
      </c>
    </row>
    <row r="38" ht="19" customHeight="1">
      <c r="A38" s="42">
        <f>'Payroll register'!C15</f>
        <v/>
      </c>
      <c r="B38" s="12">
        <f>IF('Payroll register'!B15="","",'Payroll register'!L15)</f>
        <v/>
      </c>
      <c r="C38" s="13">
        <f>IF('Payroll register'!B15="","",'Payroll register'!D15)</f>
        <v/>
      </c>
      <c r="D38" s="40" t="n"/>
      <c r="E38" s="8" t="n"/>
      <c r="F38" s="8" t="n"/>
      <c r="G38" s="12">
        <f>IF(A38="","",IF(N(D38)=0,0,ROUND(N(B38)*ETI_HOURS/D38,2)))</f>
        <v/>
      </c>
      <c r="H38" s="12">
        <f>IF(A38="","",IF(E38&lt;&gt;"Yes",0,ROUND(IF(G38&gt;=ETI_CAP,0,IF(G38&gt;=ETI_B2,IF(F38="First 12 months",ETI_M1-ETI_T1*(G38-ETI_B2),ETI_M2-ETI_T2*(G38-ETI_B2)),IF(G38&gt;=ETI_B1,IF(F38="First 12 months",ETI_M1,ETI_M2),IF(F38="First 12 months",ETI_P1,ETI_P2)*G38)))*N(D38)/ETI_HOURS,2)))</f>
        <v/>
      </c>
    </row>
    <row r="39" ht="19" customHeight="1">
      <c r="A39" s="42">
        <f>'Payroll register'!C16</f>
        <v/>
      </c>
      <c r="B39" s="12">
        <f>IF('Payroll register'!B16="","",'Payroll register'!L16)</f>
        <v/>
      </c>
      <c r="C39" s="13">
        <f>IF('Payroll register'!B16="","",'Payroll register'!D16)</f>
        <v/>
      </c>
      <c r="D39" s="40" t="n">
        <v>160</v>
      </c>
      <c r="E39" s="8" t="inlineStr">
        <is>
          <t>Yes</t>
        </is>
      </c>
      <c r="F39" s="8" t="inlineStr">
        <is>
          <t>First 12 months</t>
        </is>
      </c>
      <c r="G39" s="12">
        <f>IF(A39="","",IF(N(D39)=0,0,ROUND(N(B39)*ETI_HOURS/D39,2)))</f>
        <v/>
      </c>
      <c r="H39" s="12">
        <f>IF(A39="","",IF(E39&lt;&gt;"Yes",0,ROUND(IF(G39&gt;=ETI_CAP,0,IF(G39&gt;=ETI_B2,IF(F39="First 12 months",ETI_M1-ETI_T1*(G39-ETI_B2),ETI_M2-ETI_T2*(G39-ETI_B2)),IF(G39&gt;=ETI_B1,IF(F39="First 12 months",ETI_M1,ETI_M2),IF(F39="First 12 months",ETI_P1,ETI_P2)*G39)))*N(D39)/ETI_HOURS,2)))</f>
        <v/>
      </c>
    </row>
    <row r="40" ht="19" customHeight="1">
      <c r="A40" s="42">
        <f>'Payroll register'!C17</f>
        <v/>
      </c>
      <c r="B40" s="12">
        <f>IF('Payroll register'!B17="","",'Payroll register'!L17)</f>
        <v/>
      </c>
      <c r="C40" s="13">
        <f>IF('Payroll register'!B17="","",'Payroll register'!D17)</f>
        <v/>
      </c>
      <c r="D40" s="40" t="n"/>
      <c r="E40" s="8" t="n"/>
      <c r="F40" s="8" t="n"/>
      <c r="G40" s="12">
        <f>IF(A40="","",IF(N(D40)=0,0,ROUND(N(B40)*ETI_HOURS/D40,2)))</f>
        <v/>
      </c>
      <c r="H40" s="12">
        <f>IF(A40="","",IF(E40&lt;&gt;"Yes",0,ROUND(IF(G40&gt;=ETI_CAP,0,IF(G40&gt;=ETI_B2,IF(F40="First 12 months",ETI_M1-ETI_T1*(G40-ETI_B2),ETI_M2-ETI_T2*(G40-ETI_B2)),IF(G40&gt;=ETI_B1,IF(F40="First 12 months",ETI_M1,ETI_M2),IF(F40="First 12 months",ETI_P1,ETI_P2)*G40)))*N(D40)/ETI_HOURS,2)))</f>
        <v/>
      </c>
    </row>
    <row r="41" ht="19" customHeight="1">
      <c r="A41" s="42">
        <f>'Payroll register'!C18</f>
        <v/>
      </c>
      <c r="B41" s="12">
        <f>IF('Payroll register'!B18="","",'Payroll register'!L18)</f>
        <v/>
      </c>
      <c r="C41" s="13">
        <f>IF('Payroll register'!B18="","",'Payroll register'!D18)</f>
        <v/>
      </c>
      <c r="D41" s="40" t="n"/>
      <c r="E41" s="8" t="n"/>
      <c r="F41" s="8" t="n"/>
      <c r="G41" s="12">
        <f>IF(A41="","",IF(N(D41)=0,0,ROUND(N(B41)*ETI_HOURS/D41,2)))</f>
        <v/>
      </c>
      <c r="H41" s="12">
        <f>IF(A41="","",IF(E41&lt;&gt;"Yes",0,ROUND(IF(G41&gt;=ETI_CAP,0,IF(G41&gt;=ETI_B2,IF(F41="First 12 months",ETI_M1-ETI_T1*(G41-ETI_B2),ETI_M2-ETI_T2*(G41-ETI_B2)),IF(G41&gt;=ETI_B1,IF(F41="First 12 months",ETI_M1,ETI_M2),IF(F41="First 12 months",ETI_P1,ETI_P2)*G41)))*N(D41)/ETI_HOURS,2)))</f>
        <v/>
      </c>
    </row>
    <row r="42" ht="19" customHeight="1">
      <c r="A42" s="42">
        <f>'Payroll register'!C19</f>
        <v/>
      </c>
      <c r="B42" s="12">
        <f>IF('Payroll register'!B19="","",'Payroll register'!L19)</f>
        <v/>
      </c>
      <c r="C42" s="13">
        <f>IF('Payroll register'!B19="","",'Payroll register'!D19)</f>
        <v/>
      </c>
      <c r="D42" s="40" t="n"/>
      <c r="E42" s="8" t="n"/>
      <c r="F42" s="8" t="n"/>
      <c r="G42" s="12">
        <f>IF(A42="","",IF(N(D42)=0,0,ROUND(N(B42)*ETI_HOURS/D42,2)))</f>
        <v/>
      </c>
      <c r="H42" s="12">
        <f>IF(A42="","",IF(E42&lt;&gt;"Yes",0,ROUND(IF(G42&gt;=ETI_CAP,0,IF(G42&gt;=ETI_B2,IF(F42="First 12 months",ETI_M1-ETI_T1*(G42-ETI_B2),ETI_M2-ETI_T2*(G42-ETI_B2)),IF(G42&gt;=ETI_B1,IF(F42="First 12 months",ETI_M1,ETI_M2),IF(F42="First 12 months",ETI_P1,ETI_P2)*G42)))*N(D42)/ETI_HOURS,2)))</f>
        <v/>
      </c>
    </row>
    <row r="43" ht="19" customHeight="1">
      <c r="A43" s="42">
        <f>'Payroll register'!C20</f>
        <v/>
      </c>
      <c r="B43" s="12">
        <f>IF('Payroll register'!B20="","",'Payroll register'!L20)</f>
        <v/>
      </c>
      <c r="C43" s="13">
        <f>IF('Payroll register'!B20="","",'Payroll register'!D20)</f>
        <v/>
      </c>
      <c r="D43" s="40" t="n"/>
      <c r="E43" s="8" t="n"/>
      <c r="F43" s="8" t="n"/>
      <c r="G43" s="12">
        <f>IF(A43="","",IF(N(D43)=0,0,ROUND(N(B43)*ETI_HOURS/D43,2)))</f>
        <v/>
      </c>
      <c r="H43" s="12">
        <f>IF(A43="","",IF(E43&lt;&gt;"Yes",0,ROUND(IF(G43&gt;=ETI_CAP,0,IF(G43&gt;=ETI_B2,IF(F43="First 12 months",ETI_M1-ETI_T1*(G43-ETI_B2),ETI_M2-ETI_T2*(G43-ETI_B2)),IF(G43&gt;=ETI_B1,IF(F43="First 12 months",ETI_M1,ETI_M2),IF(F43="First 12 months",ETI_P1,ETI_P2)*G43)))*N(D43)/ETI_HOURS,2)))</f>
        <v/>
      </c>
    </row>
    <row r="44" ht="19" customHeight="1">
      <c r="A44" s="42">
        <f>'Payroll register'!C21</f>
        <v/>
      </c>
      <c r="B44" s="12">
        <f>IF('Payroll register'!B21="","",'Payroll register'!L21)</f>
        <v/>
      </c>
      <c r="C44" s="13">
        <f>IF('Payroll register'!B21="","",'Payroll register'!D21)</f>
        <v/>
      </c>
      <c r="D44" s="40" t="n"/>
      <c r="E44" s="8" t="n"/>
      <c r="F44" s="8" t="n"/>
      <c r="G44" s="12">
        <f>IF(A44="","",IF(N(D44)=0,0,ROUND(N(B44)*ETI_HOURS/D44,2)))</f>
        <v/>
      </c>
      <c r="H44" s="12">
        <f>IF(A44="","",IF(E44&lt;&gt;"Yes",0,ROUND(IF(G44&gt;=ETI_CAP,0,IF(G44&gt;=ETI_B2,IF(F44="First 12 months",ETI_M1-ETI_T1*(G44-ETI_B2),ETI_M2-ETI_T2*(G44-ETI_B2)),IF(G44&gt;=ETI_B1,IF(F44="First 12 months",ETI_M1,ETI_M2),IF(F44="First 12 months",ETI_P1,ETI_P2)*G44)))*N(D44)/ETI_HOURS,2)))</f>
        <v/>
      </c>
    </row>
    <row r="45" ht="19" customHeight="1">
      <c r="A45" s="42">
        <f>'Payroll register'!C22</f>
        <v/>
      </c>
      <c r="B45" s="12">
        <f>IF('Payroll register'!B22="","",'Payroll register'!L22)</f>
        <v/>
      </c>
      <c r="C45" s="13">
        <f>IF('Payroll register'!B22="","",'Payroll register'!D22)</f>
        <v/>
      </c>
      <c r="D45" s="40" t="n"/>
      <c r="E45" s="8" t="n"/>
      <c r="F45" s="8" t="n"/>
      <c r="G45" s="12">
        <f>IF(A45="","",IF(N(D45)=0,0,ROUND(N(B45)*ETI_HOURS/D45,2)))</f>
        <v/>
      </c>
      <c r="H45" s="12">
        <f>IF(A45="","",IF(E45&lt;&gt;"Yes",0,ROUND(IF(G45&gt;=ETI_CAP,0,IF(G45&gt;=ETI_B2,IF(F45="First 12 months",ETI_M1-ETI_T1*(G45-ETI_B2),ETI_M2-ETI_T2*(G45-ETI_B2)),IF(G45&gt;=ETI_B1,IF(F45="First 12 months",ETI_M1,ETI_M2),IF(F45="First 12 months",ETI_P1,ETI_P2)*G45)))*N(D45)/ETI_HOURS,2)))</f>
        <v/>
      </c>
    </row>
    <row r="46" ht="19" customHeight="1">
      <c r="A46" s="42">
        <f>'Payroll register'!C23</f>
        <v/>
      </c>
      <c r="B46" s="12">
        <f>IF('Payroll register'!B23="","",'Payroll register'!L23)</f>
        <v/>
      </c>
      <c r="C46" s="13">
        <f>IF('Payroll register'!B23="","",'Payroll register'!D23)</f>
        <v/>
      </c>
      <c r="D46" s="40" t="n"/>
      <c r="E46" s="8" t="n"/>
      <c r="F46" s="8" t="n"/>
      <c r="G46" s="12">
        <f>IF(A46="","",IF(N(D46)=0,0,ROUND(N(B46)*ETI_HOURS/D46,2)))</f>
        <v/>
      </c>
      <c r="H46" s="12">
        <f>IF(A46="","",IF(E46&lt;&gt;"Yes",0,ROUND(IF(G46&gt;=ETI_CAP,0,IF(G46&gt;=ETI_B2,IF(F46="First 12 months",ETI_M1-ETI_T1*(G46-ETI_B2),ETI_M2-ETI_T2*(G46-ETI_B2)),IF(G46&gt;=ETI_B1,IF(F46="First 12 months",ETI_M1,ETI_M2),IF(F46="First 12 months",ETI_P1,ETI_P2)*G46)))*N(D46)/ETI_HOURS,2)))</f>
        <v/>
      </c>
    </row>
    <row r="47" ht="22" customHeight="1">
      <c r="A47" s="43" t="inlineStr">
        <is>
          <t>TOTAL INCENTIVE FOR THE MONTH</t>
        </is>
      </c>
      <c r="B47" s="44" t="n"/>
      <c r="C47" s="44" t="n"/>
      <c r="D47" s="44" t="n"/>
      <c r="E47" s="44" t="n"/>
      <c r="F47" s="44" t="n"/>
      <c r="G47" s="44" t="n"/>
      <c r="H47" s="64">
        <f>ROUND(SUM(H35:H46),2)</f>
        <v/>
      </c>
    </row>
    <row r="48" ht="20" customHeight="1">
      <c r="A48" s="36">
        <f>IF(SUMPRODUCT((A35:A46&lt;&gt;"")*(E35:E46="Yes")*(((C35:C46&lt;ETI_AGE_MIN)+(C35:C46&gt;ETI_AGE_MAX))&gt;0))=0,"Age check: every employee marked as qualifying is inside the 18 to 29 band.","Age check: an employee marked as qualifying is outside the 18 to 29 age band. The incentive cannot be claimed for them unless they work in a special economic zone.")</f>
        <v/>
      </c>
      <c r="B48" s="51" t="n"/>
      <c r="C48" s="51" t="n"/>
      <c r="D48" s="51" t="n"/>
      <c r="E48" s="51" t="n"/>
      <c r="F48" s="51" t="n"/>
      <c r="G48" s="51" t="n"/>
      <c r="H48" s="52" t="n"/>
    </row>
    <row r="49" ht="42" customHeight="1">
      <c r="A49" s="18" t="inlineStr">
        <is>
          <t>Note: Mark an employee as qualifying only if all of it is true: they hold a South African identity document, an asylum seeker permit or a refugee identity document; they are 18 to 29; they are not a domestic worker; they are not connected to the owner, so not the owner, a director or a relative of either; they were employed on or after 1 October 2013; and they earn R 7 500 or less a month.</t>
        </is>
      </c>
    </row>
    <row r="50" ht="30" customHeight="1">
      <c r="A50" s="18" t="inlineStr">
        <is>
          <t>Note: Someone who worked fewer than 160 hours is grossed up to a 160 hour month to find which band they fall in, and the answer is then scaled back down in the same proportion. Without that step a part time employee would be pushed into the wrong band. Column G shows the grossed up figure so you can see it happen.</t>
        </is>
      </c>
    </row>
    <row r="51" ht="18" customHeight="1">
      <c r="A51" s="18" t="inlineStr">
        <is>
          <t>Note: You may claim for 24 qualifying months for each employee, and it counts qualifying months, not calendar months. A month in which they do not qualify does not use one up.</t>
        </is>
      </c>
    </row>
    <row r="52" ht="30" customHeight="1">
      <c r="A52" s="18" t="inlineStr">
        <is>
          <t>Note: The incentive reduces PAYE only. It never reduces UIF or SDL, and net PAYE can never go below nil. Anything left over carries forward, and at the end of each six month reconciliation period, August and February, an unused balance is refunded to a tax compliant employer. Claim it before the last month of that period or you lose it.</t>
        </is>
      </c>
    </row>
    <row r="53" ht="30" customHeight="1">
      <c r="A53" s="18" t="inlineStr">
        <is>
          <t>Note: How to use this sheet: type only in the white cells, which show in blue text. The shaded cells work themselves out, so leave them alone. Notes in grey italic are guidance and can be deleted before you send the document.</t>
        </is>
      </c>
    </row>
  </sheetData>
  <mergeCells count="25">
    <mergeCell ref="A48:H48"/>
    <mergeCell ref="C16:H16"/>
    <mergeCell ref="A30:H30"/>
    <mergeCell ref="A51:H51"/>
    <mergeCell ref="A49:H49"/>
    <mergeCell ref="A1:H1"/>
    <mergeCell ref="C12:H12"/>
    <mergeCell ref="C11:H11"/>
    <mergeCell ref="G6:H6"/>
    <mergeCell ref="C17:H17"/>
    <mergeCell ref="A27:H27"/>
    <mergeCell ref="A50:H50"/>
    <mergeCell ref="C28:H28"/>
    <mergeCell ref="C13:H13"/>
    <mergeCell ref="A2:H2"/>
    <mergeCell ref="G5:H5"/>
    <mergeCell ref="A33:H33"/>
    <mergeCell ref="C15:H15"/>
    <mergeCell ref="G4:H4"/>
    <mergeCell ref="A53:H53"/>
    <mergeCell ref="C14:H14"/>
    <mergeCell ref="A52:H52"/>
    <mergeCell ref="A10:H10"/>
    <mergeCell ref="A19:H19"/>
    <mergeCell ref="A31:H31"/>
  </mergeCells>
  <conditionalFormatting sqref="A48:H48">
    <cfRule type="expression" priority="1" dxfId="0">
      <formula>SUMPRODUCT((A35:A46&lt;&gt;"")*(E35:E46="Yes")*(((C35:C46&lt;ETI_AGE_MIN)+(C35:C46&gt;ETI_AGE_MAX))&gt;0))&gt;0</formula>
    </cfRule>
  </conditionalFormatting>
  <dataValidations count="2">
    <dataValidation sqref="E35:E46" showDropDown="0" showInputMessage="0" showErrorMessage="1" allowBlank="1" errorTitle="Choose from the list" error="Pick one of the options in the dropdown." type="list">
      <formula1>"Yes,No"</formula1>
    </dataValidation>
    <dataValidation sqref="F35:F46" showDropDown="0" showInputMessage="0" showErrorMessage="1" allowBlank="1" errorTitle="Choose from the list" error="Pick one of the options in the dropdown." type="list">
      <formula1>"First 12 months,Second 12 months"</formula1>
    </dataValidation>
  </dataValidation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6.xml><?xml version="1.0" encoding="utf-8"?>
<worksheet xmlns="http://schemas.openxmlformats.org/spreadsheetml/2006/main">
  <sheetPr>
    <tabColor rgb="0021759B"/>
    <outlinePr summaryBelow="1" summaryRight="1"/>
    <pageSetUpPr fitToPage="1"/>
  </sheetPr>
  <dimension ref="A1:F89"/>
  <sheetViews>
    <sheetView showGridLines="0" workbookViewId="0">
      <pane ySplit="8" topLeftCell="A9" activePane="bottomLeft" state="frozen"/>
      <selection pane="bottomLeft" activeCell="A1" sqref="A1"/>
    </sheetView>
  </sheetViews>
  <sheetFormatPr baseColWidth="8" defaultRowHeight="15"/>
  <cols>
    <col width="40" customWidth="1" min="1" max="1"/>
    <col width="24" customWidth="1" min="2" max="2"/>
    <col width="22" customWidth="1" min="3" max="3"/>
    <col width="20" customWidth="1" min="4" max="4"/>
    <col width="18" customWidth="1" min="5" max="5"/>
    <col width="16" customWidth="1" min="6" max="6"/>
  </cols>
  <sheetData>
    <row r="1" ht="26" customHeight="1">
      <c r="A1" s="1" t="inlineStr">
        <is>
          <t>HOW PAYROLL WORKS</t>
        </is>
      </c>
    </row>
    <row r="2" ht="14" customHeight="1">
      <c r="A2" s="2" t="inlineStr">
        <is>
          <t>Template B9 | The rules behind every number in this workbook, in plain language.</t>
        </is>
      </c>
    </row>
    <row r="3" ht="4" customHeight="1">
      <c r="A3" s="3" t="n"/>
      <c r="B3" s="3" t="n"/>
      <c r="C3" s="3" t="n"/>
      <c r="D3" s="3" t="n"/>
      <c r="E3" s="3" t="n"/>
      <c r="F3" s="3" t="n"/>
    </row>
    <row r="4" ht="15" customHeight="1">
      <c r="A4" s="4" t="inlineStr">
        <is>
          <t>[YOUR COMPANY NAME]</t>
        </is>
      </c>
      <c r="E4" s="5" t="inlineStr">
        <is>
          <t>[ Insert your logo in the space above ]</t>
        </is>
      </c>
    </row>
    <row r="5" ht="15" customHeight="1">
      <c r="A5" s="6" t="inlineStr">
        <is>
          <t>Reg No: [XXXX/XXXXXX/XX]</t>
        </is>
      </c>
      <c r="E5" s="5" t="inlineStr">
        <is>
          <t>VAT No: [4XXXXXXXXX] (if VAT registered)</t>
        </is>
      </c>
    </row>
    <row r="6" ht="15" customHeight="1">
      <c r="A6" s="6" t="inlineStr">
        <is>
          <t>[email@yourbusiness.co.za]</t>
        </is>
      </c>
      <c r="E6" s="5" t="inlineStr">
        <is>
          <t>[+27 XX XXX XXXX]</t>
        </is>
      </c>
    </row>
    <row r="8" ht="22" customHeight="1">
      <c r="A8" s="15" t="inlineStr">
        <is>
          <t>HOW PAYE IS ACTUALLY WORKED OUT</t>
        </is>
      </c>
      <c r="B8" s="16" t="n"/>
      <c r="C8" s="16" t="n"/>
      <c r="D8" s="16" t="n"/>
      <c r="E8" s="16" t="n"/>
      <c r="F8" s="16" t="n"/>
    </row>
    <row r="9" ht="44" customHeight="1">
      <c r="A9" s="65" t="inlineStr">
        <is>
          <t>Tax brackets are annual. A month on its own means nothing to them. So the payroll has to pretend the employee will earn this month's figure every month for a year, tax that, and then divide the answer back down. SARS calls it the annual equivalent, and it is the only method that gives the right answer.</t>
        </is>
      </c>
    </row>
    <row r="10" ht="45" customHeight="1">
      <c r="A10" s="48" t="inlineStr">
        <is>
          <t>Step 1</t>
        </is>
      </c>
      <c r="B10" s="65" t="inlineStr">
        <is>
          <t>Add up everything the employee gets: basic pay, overtime, commission, bonuses, taxable allowances, and the taxable value of fringe benefits such as a company car or medical scheme contributions the business pays.</t>
        </is>
      </c>
    </row>
    <row r="11" ht="32" customHeight="1">
      <c r="A11" s="48" t="inlineStr">
        <is>
          <t>Step 2</t>
        </is>
      </c>
      <c r="B11" s="65" t="inlineStr">
        <is>
          <t>Take off the employee's own pension, provident or retirement annuity contribution. What is left is the monthly taxable income.</t>
        </is>
      </c>
    </row>
    <row r="12" ht="19" customHeight="1">
      <c r="A12" s="48" t="inlineStr">
        <is>
          <t>Step 3</t>
        </is>
      </c>
      <c r="B12" s="65" t="inlineStr">
        <is>
          <t>Multiply by 12 to get the annual equivalent.</t>
        </is>
      </c>
    </row>
    <row r="13" ht="19" customHeight="1">
      <c r="A13" s="48" t="inlineStr">
        <is>
          <t>Step 4</t>
        </is>
      </c>
      <c r="B13" s="65" t="inlineStr">
        <is>
          <t>Run that through the SARS bracket table on the rates sheet.</t>
        </is>
      </c>
    </row>
    <row r="14" ht="32" customHeight="1">
      <c r="A14" s="48" t="inlineStr">
        <is>
          <t>Step 5</t>
        </is>
      </c>
      <c r="B14" s="65" t="inlineStr">
        <is>
          <t>Take off the rebates the employee's age entitles them to. Everybody gets the primary rebate. Add the secondary from 65 and the tertiary from 75, on top, not instead.</t>
        </is>
      </c>
    </row>
    <row r="15" ht="19" customHeight="1">
      <c r="A15" s="48" t="inlineStr">
        <is>
          <t>Step 6</t>
        </is>
      </c>
      <c r="B15" s="65" t="inlineStr">
        <is>
          <t>Take off a full year of medical scheme tax credit.</t>
        </is>
      </c>
    </row>
    <row r="16" ht="19" customHeight="1">
      <c r="A16" s="48" t="inlineStr">
        <is>
          <t>Step 7</t>
        </is>
      </c>
      <c r="B16" s="65" t="inlineStr">
        <is>
          <t>Divide by 12, and never let the answer go below nil.</t>
        </is>
      </c>
    </row>
    <row r="17" ht="30" customHeight="1">
      <c r="A17" s="17" t="inlineStr">
        <is>
          <t>Important: The order matters. Rebates and the medical credit come off the tax, not off the income. Taking them off the income instead gives a wrong and much larger answer.</t>
        </is>
      </c>
    </row>
    <row r="18" ht="30" customHeight="1">
      <c r="A18" s="17" t="inlineStr">
        <is>
          <t>Important: A bonus must never simply be multiplied by 12. Annualise the normal salary, add the bonus to the annual figure once, work out the tax on both, and deduct the difference in the month the bonus is paid.</t>
        </is>
      </c>
    </row>
    <row r="20" ht="22" customHeight="1">
      <c r="A20" s="15" t="inlineStr">
        <is>
          <t>A DEDUCTION IS NOT THE SAME AS AN EMPLOYER COST</t>
        </is>
      </c>
      <c r="B20" s="16" t="n"/>
      <c r="C20" s="16" t="n"/>
      <c r="D20" s="16" t="n"/>
      <c r="E20" s="16" t="n"/>
      <c r="F20" s="16" t="n"/>
    </row>
    <row r="21" ht="31" customHeight="1">
      <c r="A21" s="65" t="inlineStr">
        <is>
          <t>This is the single thing small employers get wrong most often, and it is why so many under budget for staff. A deduction comes out of the employee's money. An employer cost comes out of yours, on top of the wage, and the employee never sees it.</t>
        </is>
      </c>
    </row>
    <row r="22" ht="26" customHeight="1">
      <c r="A22" s="7" t="inlineStr">
        <is>
          <t>ITEM</t>
        </is>
      </c>
      <c r="B22" s="7" t="inlineStr">
        <is>
          <t>WHO PAYS IT</t>
        </is>
      </c>
      <c r="C22" s="7" t="inlineStr">
        <is>
          <t>DOES IT REDUCE THE EMPLOYEE'S PAY?</t>
        </is>
      </c>
      <c r="D22" s="51" t="n"/>
      <c r="E22" s="51" t="n"/>
      <c r="F22" s="52" t="n"/>
    </row>
    <row r="23" ht="20" customHeight="1">
      <c r="A23" s="19" t="inlineStr">
        <is>
          <t>PAYE</t>
        </is>
      </c>
      <c r="B23" s="19" t="inlineStr">
        <is>
          <t>The employee</t>
        </is>
      </c>
      <c r="C23" s="55" t="inlineStr">
        <is>
          <t>Yes. You are only the collector.</t>
        </is>
      </c>
    </row>
    <row r="24" ht="20" customHeight="1">
      <c r="A24" s="19" t="inlineStr">
        <is>
          <t>UIF, the first 1%</t>
        </is>
      </c>
      <c r="B24" s="19" t="inlineStr">
        <is>
          <t>The employee</t>
        </is>
      </c>
      <c r="C24" s="55" t="inlineStr">
        <is>
          <t>Yes.</t>
        </is>
      </c>
    </row>
    <row r="25" ht="20" customHeight="1">
      <c r="A25" s="19" t="inlineStr">
        <is>
          <t>UIF, the second 1%</t>
        </is>
      </c>
      <c r="B25" s="19" t="inlineStr">
        <is>
          <t>The business</t>
        </is>
      </c>
      <c r="C25" s="55" t="inlineStr">
        <is>
          <t>No. It is an extra cost on top.</t>
        </is>
      </c>
    </row>
    <row r="26" ht="20" customHeight="1">
      <c r="A26" s="19" t="inlineStr">
        <is>
          <t>SDL, 1% of payroll</t>
        </is>
      </c>
      <c r="B26" s="19" t="inlineStr">
        <is>
          <t>The business</t>
        </is>
      </c>
      <c r="C26" s="55" t="inlineStr">
        <is>
          <t>No. Never deduct it.</t>
        </is>
      </c>
    </row>
    <row r="27" ht="20" customHeight="1">
      <c r="A27" s="19" t="inlineStr">
        <is>
          <t>COIDA assessment</t>
        </is>
      </c>
      <c r="B27" s="19" t="inlineStr">
        <is>
          <t>The business</t>
        </is>
      </c>
      <c r="C27" s="55" t="inlineStr">
        <is>
          <t>No. Never deduct it.</t>
        </is>
      </c>
    </row>
    <row r="28" ht="20" customHeight="1">
      <c r="A28" s="19" t="inlineStr">
        <is>
          <t>Pension or provident, employee share</t>
        </is>
      </c>
      <c r="B28" s="19" t="inlineStr">
        <is>
          <t>The employee</t>
        </is>
      </c>
      <c r="C28" s="55" t="inlineStr">
        <is>
          <t>Yes, if they agreed in writing.</t>
        </is>
      </c>
    </row>
    <row r="29" ht="20" customHeight="1">
      <c r="A29" s="19" t="inlineStr">
        <is>
          <t>Pension or provident, employer share</t>
        </is>
      </c>
      <c r="B29" s="19" t="inlineStr">
        <is>
          <t>The business</t>
        </is>
      </c>
      <c r="C29" s="55" t="inlineStr">
        <is>
          <t>No, but it is a taxable fringe benefit in the employee's hands.</t>
        </is>
      </c>
    </row>
    <row r="30" ht="30" customHeight="1">
      <c r="A30" s="18" t="inlineStr">
        <is>
          <t>Note: An employee on R 10 000 a month costs the business about R 10 200 once the employer UIF and SDL are added, before COIDA and before any leave you have to pay out later. Budget for the cost, not for the salary.</t>
        </is>
      </c>
    </row>
    <row r="32" ht="22" customHeight="1">
      <c r="A32" s="15" t="inlineStr">
        <is>
          <t>WHAT YOU MAY LAWFULLY DEDUCT FROM WAGES, AND WHAT YOU MAY NOT</t>
        </is>
      </c>
      <c r="B32" s="16" t="n"/>
      <c r="C32" s="16" t="n"/>
      <c r="D32" s="16" t="n"/>
      <c r="E32" s="16" t="n"/>
      <c r="F32" s="16" t="n"/>
    </row>
    <row r="33" ht="44" customHeight="1">
      <c r="A33" s="65" t="inlineStr">
        <is>
          <t>Section 34 of the BCEA starts from a flat no. You may not deduct anything unless one of two doors is open: the employee agreed in writing to a deduction for a debt that the agreement names, or a law, collective agreement, court order or arbitration award requires or permits it. A general clause saying the employee agrees to any deductions does not work, because the debt has to be named.</t>
        </is>
      </c>
    </row>
    <row r="34" ht="26" customHeight="1">
      <c r="A34" s="7" t="inlineStr">
        <is>
          <t>ALLOWED WITHOUT A WRITTEN AGREEMENT</t>
        </is>
      </c>
      <c r="B34" s="7" t="inlineStr">
        <is>
          <t>ALLOWED ONLY WITH ONE</t>
        </is>
      </c>
      <c r="C34" s="7" t="inlineStr">
        <is>
          <t>NEVER ALLOWED</t>
        </is>
      </c>
      <c r="D34" s="51" t="n"/>
      <c r="E34" s="51" t="n"/>
      <c r="F34" s="52" t="n"/>
    </row>
    <row r="35" ht="36" customHeight="1">
      <c r="A35" s="66" t="inlineStr">
        <is>
          <t>PAYE</t>
        </is>
      </c>
      <c r="B35" s="66" t="inlineStr">
        <is>
          <t>Pension, provident or medical scheme contributions</t>
        </is>
      </c>
      <c r="C35" s="67" t="inlineStr">
        <is>
          <t>A fine or a penalty of any kind</t>
        </is>
      </c>
      <c r="D35" s="51" t="n"/>
      <c r="E35" s="51" t="n"/>
      <c r="F35" s="52" t="n"/>
    </row>
    <row r="36" ht="36" customHeight="1">
      <c r="A36" s="66" t="inlineStr">
        <is>
          <t>The employee's 1% UIF</t>
        </is>
      </c>
      <c r="B36" s="66" t="inlineStr">
        <is>
          <t>A staff loan or a salary advance</t>
        </is>
      </c>
      <c r="C36" s="67" t="inlineStr">
        <is>
          <t>The cost of training you are required to give</t>
        </is>
      </c>
      <c r="D36" s="51" t="n"/>
      <c r="E36" s="51" t="n"/>
      <c r="F36" s="52" t="n"/>
    </row>
    <row r="37" ht="36" customHeight="1">
      <c r="A37" s="66" t="inlineStr">
        <is>
          <t>An emoluments attachment order</t>
        </is>
      </c>
      <c r="B37" s="66" t="inlineStr">
        <is>
          <t>Goods bought from you, at actual cost and no more</t>
        </is>
      </c>
      <c r="C37" s="67" t="inlineStr">
        <is>
          <t>Uniforms, tools or protective equipment you must supply</t>
        </is>
      </c>
      <c r="D37" s="51" t="n"/>
      <c r="E37" s="51" t="n"/>
      <c r="F37" s="52" t="n"/>
    </row>
    <row r="38" ht="36" customHeight="1">
      <c r="A38" s="66" t="inlineStr">
        <is>
          <t>A maintenance order</t>
        </is>
      </c>
      <c r="B38" s="66" t="inlineStr">
        <is>
          <t>Loss or damage, but only if every one of the section 34(2) conditions is met</t>
        </is>
      </c>
      <c r="C38" s="67" t="inlineStr">
        <is>
          <t>A till shortfall or stock loss taken automatically</t>
        </is>
      </c>
      <c r="D38" s="51" t="n"/>
      <c r="E38" s="51" t="n"/>
      <c r="F38" s="52" t="n"/>
    </row>
    <row r="39" ht="42" customHeight="1">
      <c r="A39" s="17" t="inlineStr">
        <is>
          <t>Important: Deducting for loss or damage needs all four: the loss happened at work and was the employee's fault, you followed a fair procedure and gave them a chance to explain, the total does not exceed the real loss, and the deductions do not take more than a quarter of their pay. Miss one and it is an unlawful deduction.</t>
        </is>
      </c>
    </row>
    <row r="40" ht="30" customHeight="1">
      <c r="A40" s="17" t="inlineStr">
        <is>
          <t>Important: Anything you deduct for a medical scheme or a retirement fund must be paid over to that fund within 7 days, BCEA section 34A. Holding it back is a criminal offence, not a cash flow decision.</t>
        </is>
      </c>
    </row>
    <row r="42" ht="22" customHeight="1">
      <c r="A42" s="15" t="inlineStr">
        <is>
          <t>WHAT MUST BE ON A PAYSLIP, BCEA SECTION 33</t>
        </is>
      </c>
      <c r="B42" s="16" t="n"/>
      <c r="C42" s="16" t="n"/>
      <c r="D42" s="16" t="n"/>
      <c r="E42" s="16" t="n"/>
      <c r="F42" s="16" t="n"/>
    </row>
    <row r="43" ht="31" customHeight="1">
      <c r="A43" s="65" t="inlineStr">
        <is>
          <t>Written information must be given to the employee on every payday. The payslip sheet in this workbook contains all of it. These are the items the Act names.</t>
        </is>
      </c>
    </row>
    <row r="44" ht="18" customHeight="1">
      <c r="A44" s="65" t="inlineStr">
        <is>
          <t>•  The employer's name and address.</t>
        </is>
      </c>
    </row>
    <row r="45" ht="18" customHeight="1">
      <c r="A45" s="65" t="inlineStr">
        <is>
          <t>•  The employee's name and occupation.</t>
        </is>
      </c>
    </row>
    <row r="46" ht="18" customHeight="1">
      <c r="A46" s="65" t="inlineStr">
        <is>
          <t>•  The period the payment is for.</t>
        </is>
      </c>
    </row>
    <row r="47" ht="18" customHeight="1">
      <c r="A47" s="65" t="inlineStr">
        <is>
          <t>•  The employee's remuneration in money.</t>
        </is>
      </c>
    </row>
    <row r="48" ht="18" customHeight="1">
      <c r="A48" s="65" t="inlineStr">
        <is>
          <t>•  The amount of every deduction and what each one is for.</t>
        </is>
      </c>
    </row>
    <row r="49" ht="18" customHeight="1">
      <c r="A49" s="65" t="inlineStr">
        <is>
          <t>•  The actual amount paid to the employee.</t>
        </is>
      </c>
    </row>
    <row r="50" ht="31" customHeight="1">
      <c r="A50" s="65" t="inlineStr">
        <is>
          <t>•  Where they matter to how the pay was worked out: the rate of pay and the overtime rate, the ordinary and overtime hours worked, the hours worked on a Sunday or a public holiday, and the totals under any averaging agreement.</t>
        </is>
      </c>
    </row>
    <row r="51" ht="30" customHeight="1">
      <c r="A51" s="18" t="inlineStr">
        <is>
          <t>Note: It must be given at the workplace, or somewhere the employee agreed to, during working hours or within 15 minutes of the start or the end of them. The rate, the hours and the occupation are the items small payslips leave off most often, and leaving them off makes the payslip non compliant.</t>
        </is>
      </c>
    </row>
    <row r="53" ht="22" customHeight="1">
      <c r="A53" s="15" t="inlineStr">
        <is>
          <t>THE EMP201 AND EMP501 CYCLE</t>
        </is>
      </c>
      <c r="B53" s="16" t="n"/>
      <c r="C53" s="16" t="n"/>
      <c r="D53" s="16" t="n"/>
      <c r="E53" s="16" t="n"/>
      <c r="F53" s="16" t="n"/>
    </row>
    <row r="54" ht="26" customHeight="1">
      <c r="A54" s="7" t="inlineStr">
        <is>
          <t>RETURN</t>
        </is>
      </c>
      <c r="B54" s="7" t="inlineStr">
        <is>
          <t>HOW OFTEN</t>
        </is>
      </c>
      <c r="C54" s="7" t="inlineStr">
        <is>
          <t>COVERS</t>
        </is>
      </c>
      <c r="D54" s="7" t="inlineStr">
        <is>
          <t>WHEN IT IS DUE</t>
        </is>
      </c>
      <c r="E54" s="51" t="n"/>
      <c r="F54" s="52" t="n"/>
    </row>
    <row r="55" ht="34" customHeight="1">
      <c r="A55" s="48" t="inlineStr">
        <is>
          <t>EMP201</t>
        </is>
      </c>
      <c r="B55" s="19" t="inlineStr">
        <is>
          <t>Every month</t>
        </is>
      </c>
      <c r="C55" s="68" t="inlineStr">
        <is>
          <t>PAYE, SDL and UIF for one month, less any ETI</t>
        </is>
      </c>
      <c r="D55" s="68" t="inlineStr">
        <is>
          <t>Within 7 days after month end, so the 7th. If the 7th is a weekend or public holiday, pay by the last business day before it.</t>
        </is>
      </c>
    </row>
    <row r="56" ht="34" customHeight="1">
      <c r="A56" s="48" t="inlineStr">
        <is>
          <t>EMP501 interim</t>
        </is>
      </c>
      <c r="B56" s="19" t="inlineStr">
        <is>
          <t>Once a year</t>
        </is>
      </c>
      <c r="C56" s="68" t="inlineStr">
        <is>
          <t>1 March to 31 August</t>
        </is>
      </c>
      <c r="D56" s="68" t="inlineStr">
        <is>
          <t>The window opens in late September and closes 31 October.</t>
        </is>
      </c>
    </row>
    <row r="57" ht="34" customHeight="1">
      <c r="A57" s="48" t="inlineStr">
        <is>
          <t>EMP501 annual</t>
        </is>
      </c>
      <c r="B57" s="19" t="inlineStr">
        <is>
          <t>Once a year</t>
        </is>
      </c>
      <c r="C57" s="68" t="inlineStr">
        <is>
          <t>The full year, 1 March to end February</t>
        </is>
      </c>
      <c r="D57" s="68" t="inlineStr">
        <is>
          <t>1 April to 31 May. IRP5 certificates are only issued once this is accepted.</t>
        </is>
      </c>
    </row>
    <row r="58" ht="34" customHeight="1">
      <c r="A58" s="48" t="inlineStr">
        <is>
          <t>IRP5 or IT3(a)</t>
        </is>
      </c>
      <c r="B58" s="19" t="inlineStr">
        <is>
          <t>Once a year</t>
        </is>
      </c>
      <c r="C58" s="68" t="inlineStr">
        <is>
          <t>Each employee's earnings and tax</t>
        </is>
      </c>
      <c r="D58" s="68" t="inlineStr">
        <is>
          <t>Issued to employees after the annual EMP501 is accepted.</t>
        </is>
      </c>
    </row>
    <row r="59" ht="30" customHeight="1">
      <c r="A59" s="17" t="inlineStr">
        <is>
          <t>Important: Two different penalties get confused. Paying PAYE late is a once off 10% of the amount not paid, plus interest. Filing the EMP501 late is 1% of the year's PAYE for each month it is outstanding, up to 10%. They are separate and you can be charged both.</t>
        </is>
      </c>
    </row>
    <row r="60" ht="30" customHeight="1">
      <c r="A60" s="17" t="inlineStr">
        <is>
          <t>Important: You need a valid identity or passport number and an income tax reference number for every employee before the EMP501 will balance. Without them SARS cannot issue an IRP5 and the employee cannot file their own return.</t>
        </is>
      </c>
    </row>
    <row r="62" ht="22" customHeight="1">
      <c r="A62" s="15" t="inlineStr">
        <is>
          <t>THE EMPLOYMENT TAX INCENTIVE, IF YOU CAN USE IT</t>
        </is>
      </c>
      <c r="B62" s="16" t="n"/>
      <c r="C62" s="16" t="n"/>
      <c r="D62" s="16" t="n"/>
      <c r="E62" s="16" t="n"/>
      <c r="F62" s="16" t="n"/>
    </row>
    <row r="63" ht="57" customHeight="1">
      <c r="A63" s="65" t="inlineStr">
        <is>
          <t>The incentive is a wage subsidy paid through the PAYE system, and it runs to 28 February 2029. You keep money you would otherwise have paid to SARS. The employee's wage and the employee's PAYE do not change at all. For a business employing young people on low wages it is worth up to R 1 500 a month for each of them in the first year and R 750 a month in the second, so up to R 27 000 over the full 24 months. It is the most under claimed thing on this list.</t>
        </is>
      </c>
    </row>
    <row r="64" ht="31" customHeight="1">
      <c r="A64" s="65" t="inlineStr">
        <is>
          <t>You qualify as an employer if you are registered for PAYE and tax compliant, and you are not a government body or a public entity. An ordinary company, close corporation or sole proprietor with a PAYE number qualifies. Work each employee out on the EMP201 sheet.</t>
        </is>
      </c>
    </row>
    <row r="66" ht="22" customHeight="1">
      <c r="A66" s="15" t="inlineStr">
        <is>
          <t>HOW LONG TO KEEP PAYROLL RECORDS</t>
        </is>
      </c>
      <c r="B66" s="16" t="n"/>
      <c r="C66" s="16" t="n"/>
      <c r="D66" s="16" t="n"/>
      <c r="E66" s="16" t="n"/>
      <c r="F66" s="16" t="n"/>
    </row>
    <row r="67" ht="26" customHeight="1">
      <c r="A67" s="7" t="inlineStr">
        <is>
          <t>WHAT</t>
        </is>
      </c>
      <c r="B67" s="7" t="inlineStr">
        <is>
          <t>HOW LONG</t>
        </is>
      </c>
      <c r="C67" s="7" t="inlineStr">
        <is>
          <t>WHICH LAW</t>
        </is>
      </c>
      <c r="D67" s="51" t="n"/>
      <c r="E67" s="51" t="n"/>
      <c r="F67" s="52" t="n"/>
    </row>
    <row r="68" ht="26" customHeight="1">
      <c r="A68" s="19" t="inlineStr">
        <is>
          <t>Time worked and pay records</t>
        </is>
      </c>
      <c r="B68" s="48" t="inlineStr">
        <is>
          <t>3 years from the last entry</t>
        </is>
      </c>
      <c r="C68" s="68" t="inlineStr">
        <is>
          <t>BCEA section 31. Note it runs from the last entry, not from termination.</t>
        </is>
      </c>
    </row>
    <row r="69" ht="26" customHeight="1">
      <c r="A69" s="19" t="inlineStr">
        <is>
          <t>Written particulars of employment</t>
        </is>
      </c>
      <c r="B69" s="48" t="inlineStr">
        <is>
          <t>3 years after employment ends</t>
        </is>
      </c>
      <c r="C69" s="68" t="inlineStr">
        <is>
          <t>BCEA section 29(4).</t>
        </is>
      </c>
    </row>
    <row r="70" ht="26" customHeight="1">
      <c r="A70" s="19" t="inlineStr">
        <is>
          <t>EMP201, EMP501, IRP5 and payroll records</t>
        </is>
      </c>
      <c r="B70" s="48" t="inlineStr">
        <is>
          <t>5 years</t>
        </is>
      </c>
      <c r="C70" s="68" t="inlineStr">
        <is>
          <t>Tax Administration Act.</t>
        </is>
      </c>
    </row>
    <row r="71" ht="26" customHeight="1">
      <c r="A71" s="19" t="inlineStr">
        <is>
          <t>Earnings records for COIDA</t>
        </is>
      </c>
      <c r="B71" s="48" t="inlineStr">
        <is>
          <t>4 years</t>
        </is>
      </c>
      <c r="C71" s="68" t="inlineStr">
        <is>
          <t>COIDA section 81.</t>
        </is>
      </c>
    </row>
    <row r="72" ht="26" customHeight="1">
      <c r="A72" s="19" t="inlineStr">
        <is>
          <t>The practical rule</t>
        </is>
      </c>
      <c r="B72" s="48" t="inlineStr">
        <is>
          <t>5 years after termination</t>
        </is>
      </c>
      <c r="C72" s="68" t="inlineStr">
        <is>
          <t>Keeps you right under all of the above at once, and covers a late CCMA referral.</t>
        </is>
      </c>
    </row>
    <row r="74" ht="22" customHeight="1">
      <c r="A74" s="15" t="inlineStr">
        <is>
          <t>POSTING THE PAYROLL TO THE GENERAL LEDGER</t>
        </is>
      </c>
      <c r="B74" s="16" t="n"/>
      <c r="C74" s="16" t="n"/>
      <c r="D74" s="16" t="n"/>
      <c r="E74" s="16" t="n"/>
      <c r="F74" s="16" t="n"/>
    </row>
    <row r="75" ht="18" customHeight="1">
      <c r="A75" s="65" t="inlineStr">
        <is>
          <t>One journal a month, using the same account names as the B10 general ledger, so the two agree.</t>
        </is>
      </c>
    </row>
    <row r="76" ht="26" customHeight="1">
      <c r="A76" s="7" t="inlineStr">
        <is>
          <t>ACCOUNT</t>
        </is>
      </c>
      <c r="B76" s="7" t="inlineStr">
        <is>
          <t>DEBIT</t>
        </is>
      </c>
      <c r="C76" s="7" t="inlineStr">
        <is>
          <t>CREDIT</t>
        </is>
      </c>
      <c r="D76" s="7" t="inlineStr">
        <is>
          <t>WHAT IT IS</t>
        </is>
      </c>
      <c r="E76" s="51" t="n"/>
      <c r="F76" s="52" t="n"/>
    </row>
    <row r="77" ht="22" customHeight="1">
      <c r="A77" s="69" t="inlineStr">
        <is>
          <t>6000 Salaries, wages and staff costs</t>
        </is>
      </c>
      <c r="B77" s="70" t="inlineStr">
        <is>
          <t>Gross remuneration</t>
        </is>
      </c>
      <c r="C77" s="70" t="inlineStr"/>
      <c r="D77" s="71" t="inlineStr">
        <is>
          <t>The full wage bill, before any deduction.</t>
        </is>
      </c>
    </row>
    <row r="78" ht="22" customHeight="1">
      <c r="A78" s="69" t="inlineStr">
        <is>
          <t>6010 UIF, SDL and COIDA</t>
        </is>
      </c>
      <c r="B78" s="70" t="inlineStr">
        <is>
          <t>Employer UIF, SDL and COIDA</t>
        </is>
      </c>
      <c r="C78" s="70" t="inlineStr"/>
      <c r="D78" s="71" t="inlineStr">
        <is>
          <t>The employer costs on top of the wage.</t>
        </is>
      </c>
    </row>
    <row r="79" ht="22" customHeight="1">
      <c r="A79" s="69" t="inlineStr">
        <is>
          <t>2300 PAYE, UIF and SDL payable to SARS</t>
        </is>
      </c>
      <c r="B79" s="70" t="inlineStr"/>
      <c r="C79" s="70" t="inlineStr">
        <is>
          <t>PAYE, both UIF sides and SDL</t>
        </is>
      </c>
      <c r="D79" s="71" t="inlineStr">
        <is>
          <t>Cleared when you pay the EMP201 by the 7th.</t>
        </is>
      </c>
    </row>
    <row r="80" ht="22" customHeight="1">
      <c r="A80" s="69" t="inlineStr">
        <is>
          <t>2950 Other current liabilities</t>
        </is>
      </c>
      <c r="B80" s="70" t="inlineStr"/>
      <c r="C80" s="70" t="inlineStr">
        <is>
          <t>Pension or provident deducted</t>
        </is>
      </c>
      <c r="D80" s="71" t="inlineStr">
        <is>
          <t>Cleared when you pay it over to the fund, within 7 days.</t>
        </is>
      </c>
    </row>
    <row r="81" ht="22" customHeight="1">
      <c r="A81" s="69" t="inlineStr">
        <is>
          <t>1000 Cash in the bank</t>
        </is>
      </c>
      <c r="B81" s="70" t="inlineStr"/>
      <c r="C81" s="70" t="inlineStr">
        <is>
          <t>Net pay</t>
        </is>
      </c>
      <c r="D81" s="71" t="inlineStr">
        <is>
          <t>What actually leaves the account on payday.</t>
        </is>
      </c>
    </row>
    <row r="82" ht="30" customHeight="1">
      <c r="A82" s="18" t="inlineStr">
        <is>
          <t>Note: The debits and the credits must come to the same figure. Gross remuneration plus the employer costs equals the deductions plus the net pay plus the employer costs, which is exactly what the total row on the register shows you.</t>
        </is>
      </c>
    </row>
    <row r="84" ht="22" customHeight="1">
      <c r="A84" s="15" t="inlineStr">
        <is>
          <t>WHERE THIS WORKBOOK FITS</t>
        </is>
      </c>
      <c r="B84" s="16" t="n"/>
      <c r="C84" s="16" t="n"/>
      <c r="D84" s="16" t="n"/>
      <c r="E84" s="16" t="n"/>
      <c r="F84" s="16" t="n"/>
    </row>
    <row r="85" ht="24" customHeight="1">
      <c r="A85" s="48" t="inlineStr">
        <is>
          <t>C5 contract of employment</t>
        </is>
      </c>
      <c r="B85" s="72" t="inlineStr">
        <is>
          <t>Sets the wage, the hours, the overtime rate and the pay day. The master sheet here should match it.</t>
        </is>
      </c>
    </row>
    <row r="86" ht="24" customHeight="1">
      <c r="A86" s="48" t="inlineStr">
        <is>
          <t>C1 weekly timesheet</t>
        </is>
      </c>
      <c r="B86" s="72" t="inlineStr">
        <is>
          <t>Counts the ordinary, overtime, Sunday and public holiday hours. Feed the totals into the register.</t>
        </is>
      </c>
    </row>
    <row r="87" ht="24" customHeight="1">
      <c r="A87" s="48" t="inlineStr">
        <is>
          <t>B10 general ledger</t>
        </is>
      </c>
      <c r="B87" s="72" t="inlineStr">
        <is>
          <t>Takes the monthly payroll journal set out above.</t>
        </is>
      </c>
    </row>
    <row r="88" ht="24" customHeight="1">
      <c r="A88" s="48" t="inlineStr">
        <is>
          <t>B1 monthly budget and B12 cash flow forecast</t>
        </is>
      </c>
      <c r="B88" s="72" t="inlineStr">
        <is>
          <t>Use the total cost to the business column, not the salary column.</t>
        </is>
      </c>
    </row>
    <row r="89" ht="30" customHeight="1">
      <c r="A89" s="17" t="inlineStr">
        <is>
          <t>Important: rates, thresholds and fees quoted in this template were correct on 09 August 2026. Confirm the current figures on sars.gov.za, cipc.co.za or labour.gov.za before you rely on them.</t>
        </is>
      </c>
    </row>
  </sheetData>
  <mergeCells count="79">
    <mergeCell ref="D76:F76"/>
    <mergeCell ref="A84:F84"/>
    <mergeCell ref="B16:F16"/>
    <mergeCell ref="A66:F66"/>
    <mergeCell ref="A75:F75"/>
    <mergeCell ref="C72:F72"/>
    <mergeCell ref="A50:F50"/>
    <mergeCell ref="C37:F37"/>
    <mergeCell ref="A47:F47"/>
    <mergeCell ref="B11:F11"/>
    <mergeCell ref="A32:F32"/>
    <mergeCell ref="A20:F20"/>
    <mergeCell ref="C24:F24"/>
    <mergeCell ref="A44:F44"/>
    <mergeCell ref="C26:F26"/>
    <mergeCell ref="A40:F40"/>
    <mergeCell ref="A64:F64"/>
    <mergeCell ref="A51:F51"/>
    <mergeCell ref="A82:F82"/>
    <mergeCell ref="A60:F60"/>
    <mergeCell ref="B15:F15"/>
    <mergeCell ref="D80:F80"/>
    <mergeCell ref="C27:F27"/>
    <mergeCell ref="C36:F36"/>
    <mergeCell ref="D57:F57"/>
    <mergeCell ref="E5:F5"/>
    <mergeCell ref="C67:F67"/>
    <mergeCell ref="A18:F18"/>
    <mergeCell ref="C28:F28"/>
    <mergeCell ref="A2:F2"/>
    <mergeCell ref="E4:F4"/>
    <mergeCell ref="A33:F33"/>
    <mergeCell ref="A42:F42"/>
    <mergeCell ref="C69:F69"/>
    <mergeCell ref="A62:F62"/>
    <mergeCell ref="B88:F88"/>
    <mergeCell ref="D55:F55"/>
    <mergeCell ref="B10:F10"/>
    <mergeCell ref="A9:F9"/>
    <mergeCell ref="D54:F54"/>
    <mergeCell ref="A48:F48"/>
    <mergeCell ref="A30:F30"/>
    <mergeCell ref="A59:F59"/>
    <mergeCell ref="B85:F85"/>
    <mergeCell ref="C71:F71"/>
    <mergeCell ref="A46:F46"/>
    <mergeCell ref="A74:F74"/>
    <mergeCell ref="D78:F78"/>
    <mergeCell ref="C34:F34"/>
    <mergeCell ref="A8:F8"/>
    <mergeCell ref="D58:F58"/>
    <mergeCell ref="C68:F68"/>
    <mergeCell ref="A17:F17"/>
    <mergeCell ref="A53:F53"/>
    <mergeCell ref="B13:F13"/>
    <mergeCell ref="A63:F63"/>
    <mergeCell ref="E6:F6"/>
    <mergeCell ref="B87:F87"/>
    <mergeCell ref="C29:F29"/>
    <mergeCell ref="A39:F39"/>
    <mergeCell ref="C22:F22"/>
    <mergeCell ref="A49:F49"/>
    <mergeCell ref="A1:F1"/>
    <mergeCell ref="A45:F45"/>
    <mergeCell ref="D77:F77"/>
    <mergeCell ref="C70:F70"/>
    <mergeCell ref="C23:F23"/>
    <mergeCell ref="A89:F89"/>
    <mergeCell ref="C38:F38"/>
    <mergeCell ref="A21:F21"/>
    <mergeCell ref="B12:F12"/>
    <mergeCell ref="B86:F86"/>
    <mergeCell ref="D56:F56"/>
    <mergeCell ref="B14:F14"/>
    <mergeCell ref="A43:F43"/>
    <mergeCell ref="C35:F35"/>
    <mergeCell ref="D79:F79"/>
    <mergeCell ref="C25:F25"/>
    <mergeCell ref="D81:F81"/>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2026-08-10T21:50:37Z</dcterms:created>
  <dcterms:modified xmlns:dcterms="http://purl.org/dc/terms/" xmlns:xsi="http://www.w3.org/2001/XMLSchema-instance" xsi:type="dcterms:W3CDTF">2026-08-10T21:50:38Z</dcterms:modified>
</cp:coreProperties>
</file>