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3 Week Forecast" sheetId="1" state="visible" r:id="rId1"/>
    <sheet xmlns:r="http://schemas.openxmlformats.org/officeDocument/2006/relationships" name="Money coming in" sheetId="2" state="visible" r:id="rId2"/>
    <sheet xmlns:r="http://schemas.openxmlformats.org/officeDocument/2006/relationships" name="Money going out" sheetId="3" state="visible" r:id="rId3"/>
    <sheet xmlns:r="http://schemas.openxmlformats.org/officeDocument/2006/relationships" name="Public holidays" sheetId="4" state="visible" r:id="rId4"/>
    <sheet xmlns:r="http://schemas.openxmlformats.org/officeDocument/2006/relationships" name="Scenarios" sheetId="5" state="visible" r:id="rId5"/>
    <sheet xmlns:r="http://schemas.openxmlformats.org/officeDocument/2006/relationships" name="Monthly summary" sheetId="6" state="visible" r:id="rId6"/>
    <sheet xmlns:r="http://schemas.openxmlformats.org/officeDocument/2006/relationships" name="How to use" sheetId="7" state="visible" r:id="rId7"/>
    <sheet xmlns:r="http://schemas.openxmlformats.org/officeDocument/2006/relationships" name="When cash is tight" sheetId="8" state="visible" r:id="rId8"/>
  </sheets>
  <definedNames>
    <definedName name="Week1">'13 Week Forecast'!$B$9</definedName>
    <definedName name="OpeningBal">'13 Week Forecast'!$B$10</definedName>
    <definedName name="CashBuffer">'13 Week Forecast'!$B$11</definedName>
    <definedName name="AmberMult">'13 Week Forecast'!$B$12</definedName>
    <definedName name="FcIn">'13 Week Forecast'!$B$32:$N$32</definedName>
    <definedName name="FcOut">'13 Week Forecast'!$B$54:$N$54</definedName>
    <definedName name="FcDates">'13 Week Forecast'!$B$17:$N$17</definedName>
    <definedName name="FcCashSales">'13 Week Forecast'!$B$22:$N$22</definedName>
    <definedName name="FcColl">'13 Week Forecast'!$B$23:$N$23</definedName>
    <definedName name="FcCollHand">'13 Week Forecast'!$B$28:$N$28</definedName>
    <definedName name="RateCertain">'Money coming in'!$B$9</definedName>
    <definedName name="RateLikely">'Money coming in'!$B$10</definedName>
    <definedName name="RatePossible">'Money coming in'!$B$11</definedName>
    <definedName name="RateDoubtful">'Money coming in'!$B$12</definedName>
    <definedName name="ConcThreshold">'Money coming in'!$B$13</definedName>
    <definedName name="InCust">'Money coming in'!$A$25:$A$84</definedName>
    <definedName name="InGross">'Money coming in'!$F$25:$F$84</definedName>
    <definedName name="InConf">'Money coming in'!$I$25:$I$84</definedName>
    <definedName name="InAmt">'Money coming in'!$K$25:$K$84</definedName>
    <definedName name="InWk">'Money coming in'!$L$25:$L$84</definedName>
    <definedName name="InCustTot">'Money coming in'!$M$25:$M$84</definedName>
    <definedName name="OutAmt">'Money going out'!$C$10:$C$59</definedName>
    <definedName name="OutType">'Money going out'!$E$10:$E$59</definedName>
    <definedName name="OutWk">'Money going out'!$G$10:$G$59</definedName>
    <definedName name="VatCategory">'Money going out'!$B$80</definedName>
    <definedName name="PayeAmt">'Money going out'!$B$73:$B$77</definedName>
    <definedName name="PayeWk">'Money going out'!$D$73:$D$77</definedName>
    <definedName name="VatAmt">'Money going out'!$C$82:$C$86</definedName>
    <definedName name="VatWk">'Money going out'!$E$82:$E$86</definedName>
    <definedName name="ProvAmt">'Money going out'!$B$91:$B$92</definedName>
    <definedName name="ProvWk">'Money going out'!$E$91:$E$92</definedName>
    <definedName name="Holidays">'Public holidays'!$E$24:$F$68</definedName>
    <definedName name="CheckDate">'Public holidays'!$B$16</definedName>
    <definedName name="ScenLate">'Scenarios'!$B$9</definedName>
    <definedName name="ScenBigLate">'Scenarios'!$B$10</definedName>
    <definedName name="CustUsed">'Scenarios'!$B$12</definedName>
    <definedName name="ScenDrop">'Scenarios'!$B$13</definedName>
    <definedName name="ScenCost">'Scenarios'!$B$14</definedName>
    <definedName name="ScenCostWeek">'Scenarios'!$B$15</definedName>
    <definedName name="ScenRest">'Scenarios'!$B$60:$N$60</definedName>
    <definedName name="ScenBig">'Scenarios'!$B$61:$N$61</definedName>
  </definedNames>
  <calcPr calcId="124519" fullCalcOnLoad="1"/>
</workbook>
</file>

<file path=xl/styles.xml><?xml version="1.0" encoding="utf-8"?>
<styleSheet xmlns="http://schemas.openxmlformats.org/spreadsheetml/2006/main">
  <numFmts count="6">
    <numFmt numFmtId="164" formatCode="DD MMM YYYY"/>
    <numFmt numFmtId="165" formatCode="&quot;R&quot; #,##0.00"/>
    <numFmt numFmtId="166" formatCode="0.0%"/>
    <numFmt numFmtId="167" formatCode="MMMM YYYY"/>
    <numFmt numFmtId="168" formatCode="DDDD"/>
    <numFmt numFmtId="169" formatCode="yyyy-mm-dd"/>
  </numFmts>
  <fonts count="21">
    <font>
      <name val="Calibri"/>
      <family val="2"/>
      <color theme="1"/>
      <sz val="11"/>
      <scheme val="minor"/>
    </font>
    <font>
      <name val="Arial"/>
      <b val="1"/>
      <color rgb="00191C4A"/>
      <sz val="16"/>
    </font>
    <font>
      <name val="Arial"/>
      <i val="1"/>
      <color rgb="006B6870"/>
      <sz val="9"/>
    </font>
    <font>
      <name val="Arial"/>
      <b val="1"/>
      <color rgb="0021759B"/>
      <sz val="10"/>
    </font>
    <font>
      <name val="Arial"/>
      <color rgb="0021759B"/>
      <sz val="9"/>
    </font>
    <font>
      <name val="Arial"/>
      <i val="1"/>
      <color rgb="006B6870"/>
      <sz val="8.5"/>
    </font>
    <font>
      <name val="Arial"/>
      <b val="1"/>
      <color rgb="00FFFFFF"/>
      <sz val="10"/>
    </font>
    <font>
      <name val="Arial"/>
      <b val="1"/>
      <color rgb="00222222"/>
      <sz val="10"/>
    </font>
    <font>
      <name val="Arial"/>
      <color rgb="000000FF"/>
      <sz val="10"/>
    </font>
    <font>
      <name val="Arial"/>
      <color rgb="00191C4A"/>
      <sz val="10"/>
    </font>
    <font>
      <name val="Arial"/>
      <b val="1"/>
      <color rgb="00FFFFFF"/>
      <sz val="8.5"/>
    </font>
    <font>
      <name val="Arial"/>
      <b val="1"/>
      <color rgb="00191C4A"/>
      <sz val="9"/>
    </font>
    <font>
      <name val="Arial"/>
      <color rgb="00191C4A"/>
      <sz val="9"/>
    </font>
    <font>
      <name val="Arial"/>
      <color rgb="000000FF"/>
      <sz val="9"/>
    </font>
    <font>
      <name val="Arial"/>
      <color rgb="00222222"/>
      <sz val="10"/>
    </font>
    <font>
      <name val="Arial"/>
      <b val="1"/>
      <color rgb="00191C4A"/>
      <sz val="10"/>
    </font>
    <font>
      <name val="Arial"/>
      <b val="1"/>
      <color rgb="00191C4A"/>
      <sz val="11"/>
    </font>
    <font>
      <name val="Arial"/>
      <color rgb="00191C4A"/>
      <sz val="11"/>
    </font>
    <font>
      <name val="Arial"/>
      <b val="1"/>
      <color rgb="00FFFFFF"/>
      <sz val="9.5"/>
    </font>
    <font>
      <name val="Arial"/>
      <color rgb="00222222"/>
      <sz val="9"/>
    </font>
    <font>
      <name val="Arial"/>
      <b val="1"/>
      <color rgb="00D7B428"/>
      <sz val="10"/>
    </font>
  </fonts>
  <fills count="9">
    <fill>
      <patternFill/>
    </fill>
    <fill>
      <patternFill patternType="gray125"/>
    </fill>
    <fill>
      <patternFill patternType="solid">
        <fgColor rgb="00191C4A"/>
      </patternFill>
    </fill>
    <fill>
      <patternFill patternType="solid">
        <fgColor rgb="00FFFFFF"/>
      </patternFill>
    </fill>
    <fill>
      <patternFill patternType="solid">
        <fgColor rgb="00F7F6F2"/>
      </patternFill>
    </fill>
    <fill>
      <patternFill patternType="solid">
        <fgColor rgb="001D9E75"/>
      </patternFill>
    </fill>
    <fill>
      <patternFill patternType="solid">
        <fgColor rgb="0021759B"/>
      </patternFill>
    </fill>
    <fill>
      <patternFill patternType="solid">
        <fgColor rgb="00E8E9F2"/>
      </patternFill>
    </fill>
    <fill>
      <patternFill patternType="solid">
        <fgColor rgb="00111330"/>
      </patternFill>
    </fill>
  </fills>
  <borders count="4">
    <border>
      <left/>
      <right/>
      <top/>
      <bottom/>
      <diagonal/>
    </border>
    <border>
      <bottom style="thin">
        <color rgb="00E0DDD4"/>
      </bottom>
    </border>
    <border>
      <right/>
      <bottom style="thin">
        <color rgb="00E0DDD4"/>
      </bottom>
    </border>
    <border>
      <left/>
      <right/>
      <top/>
      <bottom style="thin">
        <color rgb="00E0DDD4"/>
      </bottom>
      <diagonal/>
    </border>
  </borders>
  <cellStyleXfs count="1">
    <xf numFmtId="0" fontId="0" fillId="0" borderId="0"/>
  </cellStyleXfs>
  <cellXfs count="7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xf>
    <xf numFmtId="0" fontId="4" fillId="0" borderId="0" pivotButton="0" quotePrefix="0" xfId="0"/>
    <xf numFmtId="0" fontId="5" fillId="0" borderId="0" applyAlignment="1" pivotButton="0" quotePrefix="0" xfId="0">
      <alignment vertical="center" wrapText="1"/>
    </xf>
    <xf numFmtId="0" fontId="6" fillId="2" borderId="0" pivotButton="0" quotePrefix="0" xfId="0"/>
    <xf numFmtId="0" fontId="7" fillId="0" borderId="0" pivotButton="0" quotePrefix="0" xfId="0"/>
    <xf numFmtId="164" fontId="8" fillId="3" borderId="1" applyAlignment="1" pivotButton="0" quotePrefix="0" xfId="0">
      <alignment horizontal="center"/>
    </xf>
    <xf numFmtId="165" fontId="8" fillId="3" borderId="1" applyAlignment="1" pivotButton="0" quotePrefix="0" xfId="0">
      <alignment horizontal="right"/>
    </xf>
    <xf numFmtId="4" fontId="8" fillId="3" borderId="1" applyAlignment="1" pivotButton="0" quotePrefix="0" xfId="0">
      <alignment horizontal="center"/>
    </xf>
    <xf numFmtId="165" fontId="9" fillId="4" borderId="1" applyAlignment="1" pivotButton="0" quotePrefix="0" xfId="0">
      <alignment horizontal="right"/>
    </xf>
    <xf numFmtId="0" fontId="10" fillId="2" borderId="1" applyAlignment="1" pivotButton="0" quotePrefix="0" xfId="0">
      <alignment horizontal="center" vertical="center" wrapText="1"/>
    </xf>
    <xf numFmtId="3" fontId="11" fillId="4" borderId="1" applyAlignment="1" pivotButton="0" quotePrefix="0" xfId="0">
      <alignment horizontal="center"/>
    </xf>
    <xf numFmtId="0" fontId="9" fillId="4" borderId="1" applyAlignment="1" pivotButton="0" quotePrefix="0" xfId="0">
      <alignment horizontal="right"/>
    </xf>
    <xf numFmtId="164" fontId="12" fillId="4" borderId="1" applyAlignment="1" pivotButton="0" quotePrefix="0" xfId="0">
      <alignment horizontal="center"/>
    </xf>
    <xf numFmtId="0" fontId="13" fillId="3" borderId="1" applyAlignment="1" pivotButton="0" quotePrefix="0" xfId="0">
      <alignment horizontal="center"/>
    </xf>
    <xf numFmtId="165" fontId="12" fillId="4" borderId="1" applyAlignment="1" pivotButton="0" quotePrefix="0" xfId="0">
      <alignment horizontal="right"/>
    </xf>
    <xf numFmtId="0" fontId="6" fillId="5" borderId="0" pivotButton="0" quotePrefix="0" xfId="0"/>
    <xf numFmtId="0" fontId="14" fillId="0" borderId="0" applyAlignment="1" pivotButton="0" quotePrefix="0" xfId="0">
      <alignment indent="1"/>
    </xf>
    <xf numFmtId="0" fontId="6" fillId="6" borderId="0" pivotButton="0" quotePrefix="0" xfId="0"/>
    <xf numFmtId="165" fontId="13" fillId="3" borderId="1" applyAlignment="1" pivotButton="0" quotePrefix="0" xfId="0">
      <alignment horizontal="right"/>
    </xf>
    <xf numFmtId="0" fontId="15" fillId="7" borderId="0" pivotButton="0" quotePrefix="0" xfId="0"/>
    <xf numFmtId="165" fontId="15" fillId="7" borderId="1" applyAlignment="1" pivotButton="0" quotePrefix="0" xfId="0">
      <alignment horizontal="right"/>
    </xf>
    <xf numFmtId="0" fontId="9" fillId="7" borderId="0" pivotButton="0" quotePrefix="0" xfId="0"/>
    <xf numFmtId="0" fontId="15" fillId="4" borderId="0" pivotButton="0" quotePrefix="0" xfId="0"/>
    <xf numFmtId="165" fontId="15" fillId="4" borderId="1" applyAlignment="1" pivotButton="0" quotePrefix="0" xfId="0">
      <alignment horizontal="right"/>
    </xf>
    <xf numFmtId="0" fontId="5" fillId="4" borderId="0" applyAlignment="1" pivotButton="0" quotePrefix="0" xfId="0">
      <alignment vertical="center" wrapText="1"/>
    </xf>
    <xf numFmtId="0" fontId="5" fillId="7" borderId="0" applyAlignment="1" pivotButton="0" quotePrefix="0" xfId="0">
      <alignment vertical="center" wrapText="1"/>
    </xf>
    <xf numFmtId="0" fontId="9" fillId="4" borderId="0" pivotButton="0" quotePrefix="0" xfId="0"/>
    <xf numFmtId="4" fontId="15" fillId="4" borderId="1" applyAlignment="1" pivotButton="0" quotePrefix="0" xfId="0">
      <alignment horizontal="right"/>
    </xf>
    <xf numFmtId="0" fontId="15" fillId="4" borderId="1" applyAlignment="1" pivotButton="0" quotePrefix="0" xfId="0">
      <alignment horizontal="center"/>
    </xf>
    <xf numFmtId="3" fontId="15" fillId="4" borderId="1" applyAlignment="1" pivotButton="0" quotePrefix="0" xfId="0">
      <alignment horizontal="right"/>
    </xf>
    <xf numFmtId="0" fontId="16" fillId="7" borderId="2" applyAlignment="1" pivotButton="0" quotePrefix="0" xfId="0">
      <alignment horizontal="left" vertical="center" wrapText="1"/>
    </xf>
    <xf numFmtId="0" fontId="0" fillId="0" borderId="3" pivotButton="0" quotePrefix="0" xfId="0"/>
    <xf numFmtId="0" fontId="9" fillId="4" borderId="2" applyAlignment="1" pivotButton="0" quotePrefix="0" xfId="0">
      <alignment horizontal="left" vertical="center" wrapText="1"/>
    </xf>
    <xf numFmtId="0" fontId="7" fillId="0" borderId="0" applyAlignment="1" pivotButton="0" quotePrefix="0" xfId="0">
      <alignment indent="1"/>
    </xf>
    <xf numFmtId="166" fontId="8" fillId="3" borderId="1" applyAlignment="1" pivotButton="0" quotePrefix="0" xfId="0">
      <alignment horizontal="center"/>
    </xf>
    <xf numFmtId="0" fontId="9" fillId="4" borderId="1" applyAlignment="1" pivotButton="0" quotePrefix="0" xfId="0">
      <alignment horizontal="left"/>
    </xf>
    <xf numFmtId="166" fontId="9" fillId="4" borderId="1" applyAlignment="1" pivotButton="0" quotePrefix="0" xfId="0">
      <alignment horizontal="center"/>
    </xf>
    <xf numFmtId="0" fontId="9" fillId="7" borderId="2" applyAlignment="1" pivotButton="0" quotePrefix="0" xfId="0">
      <alignment horizontal="left" vertical="center" wrapText="1"/>
    </xf>
    <xf numFmtId="0" fontId="13" fillId="3" borderId="1" applyAlignment="1" pivotButton="0" quotePrefix="0" xfId="0">
      <alignment horizontal="left"/>
    </xf>
    <xf numFmtId="164" fontId="13" fillId="3" borderId="1" applyAlignment="1" pivotButton="0" quotePrefix="0" xfId="0">
      <alignment horizontal="center"/>
    </xf>
    <xf numFmtId="3" fontId="13" fillId="3" borderId="1" applyAlignment="1" pivotButton="0" quotePrefix="0" xfId="0">
      <alignment horizontal="center"/>
    </xf>
    <xf numFmtId="166" fontId="12" fillId="4" borderId="1" applyAlignment="1" pivotButton="0" quotePrefix="0" xfId="0">
      <alignment horizontal="center"/>
    </xf>
    <xf numFmtId="0" fontId="12" fillId="4" borderId="1" applyAlignment="1" pivotButton="0" quotePrefix="0" xfId="0">
      <alignment horizontal="center"/>
    </xf>
    <xf numFmtId="3" fontId="9" fillId="4" borderId="1" applyAlignment="1" pivotButton="0" quotePrefix="0" xfId="0">
      <alignment horizontal="center"/>
    </xf>
    <xf numFmtId="0" fontId="18" fillId="6" borderId="0" pivotButton="0" quotePrefix="0" xfId="0"/>
    <xf numFmtId="167" fontId="12" fillId="4" borderId="1" applyAlignment="1" pivotButton="0" quotePrefix="0" xfId="0">
      <alignment horizontal="left"/>
    </xf>
    <xf numFmtId="0" fontId="8" fillId="3" borderId="1" applyAlignment="1" pivotButton="0" quotePrefix="0" xfId="0">
      <alignment horizontal="left"/>
    </xf>
    <xf numFmtId="168" fontId="9" fillId="4" borderId="1" applyAlignment="1" pivotButton="0" quotePrefix="0" xfId="0">
      <alignment horizontal="center"/>
    </xf>
    <xf numFmtId="164" fontId="9" fillId="4" borderId="1" applyAlignment="1" pivotButton="0" quotePrefix="0" xfId="0">
      <alignment horizontal="center"/>
    </xf>
    <xf numFmtId="0" fontId="19" fillId="0" borderId="0" applyAlignment="1" pivotButton="0" quotePrefix="0" xfId="0">
      <alignment indent="1"/>
    </xf>
    <xf numFmtId="168" fontId="12" fillId="4" borderId="1" applyAlignment="1" pivotButton="0" quotePrefix="0" xfId="0">
      <alignment horizontal="center"/>
    </xf>
    <xf numFmtId="0" fontId="13" fillId="3" borderId="1" applyAlignment="1" pivotButton="0" quotePrefix="0" xfId="0">
      <alignment horizontal="left" vertical="center" wrapText="1"/>
    </xf>
    <xf numFmtId="3" fontId="8" fillId="3" borderId="1" applyAlignment="1" pivotButton="0" quotePrefix="0" xfId="0">
      <alignment horizontal="center"/>
    </xf>
    <xf numFmtId="165" fontId="8" fillId="3" borderId="1" applyAlignment="1" pivotButton="0" quotePrefix="0" xfId="0">
      <alignment horizontal="center"/>
    </xf>
    <xf numFmtId="3" fontId="12" fillId="4" borderId="1" applyAlignment="1" pivotButton="0" quotePrefix="0" xfId="0">
      <alignment horizontal="center"/>
    </xf>
    <xf numFmtId="0" fontId="12" fillId="4" borderId="1" applyAlignment="1" pivotButton="0" quotePrefix="0" xfId="0">
      <alignment horizontal="left" vertical="center" wrapText="1"/>
    </xf>
    <xf numFmtId="0" fontId="6" fillId="8" borderId="0" pivotButton="0" quotePrefix="0" xfId="0"/>
    <xf numFmtId="165" fontId="11" fillId="4" borderId="1" applyAlignment="1" pivotButton="0" quotePrefix="0" xfId="0">
      <alignment horizontal="right"/>
    </xf>
    <xf numFmtId="3" fontId="9" fillId="4" borderId="1" applyAlignment="1" pivotButton="0" quotePrefix="0" xfId="0">
      <alignment horizontal="right"/>
    </xf>
    <xf numFmtId="4" fontId="9" fillId="4" borderId="1" applyAlignment="1" pivotButton="0" quotePrefix="0" xfId="0">
      <alignment horizontal="right"/>
    </xf>
    <xf numFmtId="166" fontId="9" fillId="4" borderId="1" applyAlignment="1" pivotButton="0" quotePrefix="0" xfId="0">
      <alignment horizontal="right"/>
    </xf>
    <xf numFmtId="0" fontId="12" fillId="4" borderId="1" applyAlignment="1" pivotButton="0" quotePrefix="0" xfId="0">
      <alignment horizontal="left"/>
    </xf>
    <xf numFmtId="4" fontId="9" fillId="4" borderId="1" applyAlignment="1" pivotButton="0" quotePrefix="0" xfId="0">
      <alignment horizontal="center"/>
    </xf>
    <xf numFmtId="0" fontId="15" fillId="7" borderId="2" applyAlignment="1" pivotButton="0" quotePrefix="0" xfId="0">
      <alignment horizontal="left" vertical="center" wrapText="1"/>
    </xf>
    <xf numFmtId="0" fontId="15" fillId="0" borderId="0" applyAlignment="1" pivotButton="0" quotePrefix="0" xfId="0">
      <alignment vertical="center"/>
    </xf>
    <xf numFmtId="0" fontId="14" fillId="0" borderId="0" applyAlignment="1" pivotButton="0" quotePrefix="0" xfId="0">
      <alignment vertical="center" wrapText="1"/>
    </xf>
    <xf numFmtId="0" fontId="20" fillId="0" borderId="0" applyAlignment="1" pivotButton="0" quotePrefix="0" xfId="0">
      <alignment horizontal="center" vertical="center"/>
    </xf>
  </cellXfs>
  <cellStyles count="1">
    <cellStyle name="Normal" xfId="0" builtinId="0" hidden="0"/>
  </cellStyles>
  <dxfs count="4">
    <dxf>
      <font>
        <name val="Arial"/>
        <b val="1"/>
        <color rgb="00A32D2D"/>
      </font>
      <fill>
        <patternFill>
          <bgColor rgb="00F7DADA"/>
        </patternFill>
      </fill>
    </dxf>
    <dxf>
      <font>
        <name val="Arial"/>
        <b val="1"/>
        <color rgb="00C4830A"/>
      </font>
      <fill>
        <patternFill>
          <bgColor rgb="00FBF0D5"/>
        </patternFill>
      </fill>
    </dxf>
    <dxf>
      <font>
        <name val="Arial"/>
        <b val="1"/>
        <color rgb="001D9E75"/>
      </font>
      <fill>
        <patternFill>
          <bgColor rgb="00DFF3EA"/>
        </patternFill>
      </fill>
    </dxf>
    <dxf>
      <font>
        <name val="Arial"/>
        <b val="1"/>
        <color rgb="00191C4A"/>
      </font>
      <fill>
        <patternFill>
          <bgColor rgb="00E8E9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72"/>
  <sheetViews>
    <sheetView showGridLines="0" workbookViewId="0">
      <pane xSplit="1" ySplit="15" topLeftCell="B16" activePane="bottomRight" state="frozen"/>
      <selection pane="topRight"/>
      <selection pane="bottomLeft"/>
      <selection pane="bottomRight" activeCell="A1" sqref="A1"/>
    </sheetView>
  </sheetViews>
  <sheetFormatPr baseColWidth="8" defaultRowHeight="15"/>
  <cols>
    <col width="40"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4.5" customWidth="1" min="15" max="15"/>
    <col width="44" customWidth="1" min="16" max="16"/>
  </cols>
  <sheetData>
    <row r="1" ht="26" customHeight="1">
      <c r="A1" s="1" t="inlineStr">
        <is>
          <t>THIRTEEN WEEK CASH FLOW FORECAST</t>
        </is>
      </c>
    </row>
    <row r="2" ht="14" customHeight="1">
      <c r="A2" s="2" t="inlineStr">
        <is>
          <t>Thirteen weeks is one quarter, which is far enough ahead to fix a problem and near enough to guess well. Roll it forward every week.</t>
        </is>
      </c>
    </row>
    <row r="3" ht="4" customHeight="1"/>
    <row r="4" ht="15" customHeight="1">
      <c r="A4" s="3" t="inlineStr">
        <is>
          <t>[YOUR COMPANY NAME]</t>
        </is>
      </c>
      <c r="P4" s="4" t="inlineStr">
        <is>
          <t>[ Insert your logo in the space above ]</t>
        </is>
      </c>
    </row>
    <row r="5" ht="15" customHeight="1">
      <c r="A5" s="5" t="inlineStr">
        <is>
          <t>Reg No: [XXXX/XXXXXX/XX]</t>
        </is>
      </c>
      <c r="P5" s="4" t="inlineStr">
        <is>
          <t>VAT No: [4XXXXXXXXX] (if VAT registered)</t>
        </is>
      </c>
    </row>
    <row r="6" ht="15" customHeight="1">
      <c r="A6" s="5" t="inlineStr">
        <is>
          <t>[email@yourbusiness.co.za]</t>
        </is>
      </c>
      <c r="P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SET THIS FORECAST UP</t>
        </is>
      </c>
      <c r="B8" s="7" t="n"/>
      <c r="C8" s="7" t="n"/>
      <c r="D8" s="7" t="n"/>
      <c r="E8" s="7" t="n"/>
      <c r="F8" s="7" t="n"/>
      <c r="G8" s="7" t="n"/>
      <c r="H8" s="7" t="n"/>
      <c r="I8" s="7" t="n"/>
      <c r="J8" s="7" t="n"/>
      <c r="K8" s="7" t="n"/>
      <c r="L8" s="7" t="n"/>
      <c r="M8" s="7" t="n"/>
      <c r="N8" s="7" t="n"/>
      <c r="O8" s="7" t="n"/>
      <c r="P8" s="7" t="n"/>
    </row>
    <row r="9">
      <c r="A9" s="8" t="inlineStr">
        <is>
          <t>The Monday that week 1 starts</t>
        </is>
      </c>
      <c r="B9" s="9" t="n"/>
      <c r="D9" s="6" t="inlineStr">
        <is>
          <t>Type one date here. Every other week date, every week number and every SARS due date in this workbook is worked out from it.</t>
        </is>
      </c>
    </row>
    <row r="10">
      <c r="A10" s="8" t="inlineStr">
        <is>
          <t>Opening bank balance on that Monday</t>
        </is>
      </c>
      <c r="B10" s="10" t="n"/>
      <c r="D10" s="6" t="inlineStr">
        <is>
          <t>What is actually in the bank, not what the accounting system says. Include the overdraft as a minus figure if you are using one.</t>
        </is>
      </c>
    </row>
    <row r="11">
      <c r="A11" s="8" t="inlineStr">
        <is>
          <t>Minimum cash buffer</t>
        </is>
      </c>
      <c r="B11" s="10" t="n"/>
      <c r="D11" s="6" t="inlineStr">
        <is>
          <t>The least you are willing to have in the bank. Four weeks of your usual cash out is a sensible starting point. The traffic light works off this figure.</t>
        </is>
      </c>
    </row>
    <row r="12">
      <c r="A12" s="8" t="inlineStr">
        <is>
          <t>Amber threshold, as a multiple of the buffer</t>
        </is>
      </c>
      <c r="B12" s="11" t="n">
        <v>1.2</v>
      </c>
      <c r="D12" s="6" t="inlineStr">
        <is>
          <t>1.20 means amber starts 20 percent above the buffer. Raise it to 1.50 if you want earlier warning, drop it to 1.10 if amber fires too often. This one cell drives every amber band.</t>
        </is>
      </c>
    </row>
    <row r="13">
      <c r="A13" s="8" t="inlineStr">
        <is>
          <t>Amber threshold in rands</t>
        </is>
      </c>
      <c r="B13" s="12">
        <f>CashBuffer*AmberMult</f>
        <v/>
      </c>
      <c r="D13" s="6" t="inlineStr">
        <is>
          <t>Worked out for you. Anything below this is amber, anything below the buffer itself is red.</t>
        </is>
      </c>
    </row>
    <row r="14" ht="22" customHeight="1">
      <c r="A14" s="7" t="inlineStr">
        <is>
          <t>THE THIRTEEN WEEKS</t>
        </is>
      </c>
      <c r="B14" s="7" t="n"/>
      <c r="C14" s="7" t="n"/>
      <c r="D14" s="7" t="n"/>
      <c r="E14" s="7" t="n"/>
      <c r="F14" s="7" t="n"/>
      <c r="G14" s="7" t="n"/>
      <c r="H14" s="7" t="n"/>
      <c r="I14" s="7" t="n"/>
      <c r="J14" s="7" t="n"/>
      <c r="K14" s="7" t="n"/>
      <c r="L14" s="7" t="n"/>
      <c r="M14" s="7" t="n"/>
      <c r="N14" s="7" t="n"/>
      <c r="O14" s="7" t="n"/>
      <c r="P14" s="7" t="n"/>
    </row>
    <row r="15" ht="26" customHeight="1">
      <c r="A15" s="13" t="inlineStr">
        <is>
          <t>CATEGORY</t>
        </is>
      </c>
      <c r="B15" s="13" t="inlineStr">
        <is>
          <t>WEEK 1</t>
        </is>
      </c>
      <c r="C15" s="13" t="inlineStr">
        <is>
          <t>WEEK 2</t>
        </is>
      </c>
      <c r="D15" s="13" t="inlineStr">
        <is>
          <t>WEEK 3</t>
        </is>
      </c>
      <c r="E15" s="13" t="inlineStr">
        <is>
          <t>WEEK 4</t>
        </is>
      </c>
      <c r="F15" s="13" t="inlineStr">
        <is>
          <t>WEEK 5</t>
        </is>
      </c>
      <c r="G15" s="13" t="inlineStr">
        <is>
          <t>WEEK 6</t>
        </is>
      </c>
      <c r="H15" s="13" t="inlineStr">
        <is>
          <t>WEEK 7</t>
        </is>
      </c>
      <c r="I15" s="13" t="inlineStr">
        <is>
          <t>WEEK 8</t>
        </is>
      </c>
      <c r="J15" s="13" t="inlineStr">
        <is>
          <t>WEEK 9</t>
        </is>
      </c>
      <c r="K15" s="13" t="inlineStr">
        <is>
          <t>WEEK 10</t>
        </is>
      </c>
      <c r="L15" s="13" t="inlineStr">
        <is>
          <t>WEEK 11</t>
        </is>
      </c>
      <c r="M15" s="13" t="inlineStr">
        <is>
          <t>WEEK 12</t>
        </is>
      </c>
      <c r="N15" s="13" t="inlineStr">
        <is>
          <t>WEEK 13</t>
        </is>
      </c>
      <c r="O15" s="13" t="inlineStr">
        <is>
          <t>13 WEEK TOTAL</t>
        </is>
      </c>
      <c r="P15" s="13" t="inlineStr">
        <is>
          <t>NOTES</t>
        </is>
      </c>
    </row>
    <row r="16">
      <c r="A16" s="8" t="inlineStr">
        <is>
          <t>Week number</t>
        </is>
      </c>
      <c r="B16" s="14" t="n">
        <v>1</v>
      </c>
      <c r="C16" s="14" t="n">
        <v>2</v>
      </c>
      <c r="D16" s="14" t="n">
        <v>3</v>
      </c>
      <c r="E16" s="14" t="n">
        <v>4</v>
      </c>
      <c r="F16" s="14" t="n">
        <v>5</v>
      </c>
      <c r="G16" s="14" t="n">
        <v>6</v>
      </c>
      <c r="H16" s="14" t="n">
        <v>7</v>
      </c>
      <c r="I16" s="14" t="n">
        <v>8</v>
      </c>
      <c r="J16" s="14" t="n">
        <v>9</v>
      </c>
      <c r="K16" s="14" t="n">
        <v>10</v>
      </c>
      <c r="L16" s="14" t="n">
        <v>11</v>
      </c>
      <c r="M16" s="14" t="n">
        <v>12</v>
      </c>
      <c r="N16" s="14" t="n">
        <v>13</v>
      </c>
      <c r="O16" s="15" t="inlineStr"/>
      <c r="P16" s="6" t="inlineStr">
        <is>
          <t>The builder sheets match on this number.</t>
        </is>
      </c>
    </row>
    <row r="17" ht="25" customHeight="1">
      <c r="A17" s="8" t="inlineStr">
        <is>
          <t>Week starting</t>
        </is>
      </c>
      <c r="B17" s="16">
        <f>IF(Week1="","",Week1)</f>
        <v/>
      </c>
      <c r="C17" s="16">
        <f>IF(B17="","",B17+7)</f>
        <v/>
      </c>
      <c r="D17" s="16">
        <f>IF(C17="","",C17+7)</f>
        <v/>
      </c>
      <c r="E17" s="16">
        <f>IF(D17="","",D17+7)</f>
        <v/>
      </c>
      <c r="F17" s="16">
        <f>IF(E17="","",E17+7)</f>
        <v/>
      </c>
      <c r="G17" s="16">
        <f>IF(F17="","",F17+7)</f>
        <v/>
      </c>
      <c r="H17" s="16">
        <f>IF(G17="","",G17+7)</f>
        <v/>
      </c>
      <c r="I17" s="16">
        <f>IF(H17="","",H17+7)</f>
        <v/>
      </c>
      <c r="J17" s="16">
        <f>IF(I17="","",I17+7)</f>
        <v/>
      </c>
      <c r="K17" s="16">
        <f>IF(J17="","",J17+7)</f>
        <v/>
      </c>
      <c r="L17" s="16">
        <f>IF(K17="","",K17+7)</f>
        <v/>
      </c>
      <c r="M17" s="16">
        <f>IF(L17="","",L17+7)</f>
        <v/>
      </c>
      <c r="N17" s="16">
        <f>IF(M17="","",M17+7)</f>
        <v/>
      </c>
      <c r="O17" s="15" t="inlineStr"/>
      <c r="P17" s="6" t="inlineStr">
        <is>
          <t>Type the Monday of week 1 in the block above. The rest fill in themselves.</t>
        </is>
      </c>
    </row>
    <row r="18" ht="35.5" customHeight="1">
      <c r="A18" s="8" t="inlineStr">
        <is>
          <t>Forecast or actual</t>
        </is>
      </c>
      <c r="B18" s="17" t="inlineStr">
        <is>
          <t>Forecast</t>
        </is>
      </c>
      <c r="C18" s="17" t="inlineStr">
        <is>
          <t>Forecast</t>
        </is>
      </c>
      <c r="D18" s="17" t="inlineStr">
        <is>
          <t>Forecast</t>
        </is>
      </c>
      <c r="E18" s="17" t="inlineStr">
        <is>
          <t>Forecast</t>
        </is>
      </c>
      <c r="F18" s="17" t="inlineStr">
        <is>
          <t>Forecast</t>
        </is>
      </c>
      <c r="G18" s="17" t="inlineStr">
        <is>
          <t>Forecast</t>
        </is>
      </c>
      <c r="H18" s="17" t="inlineStr">
        <is>
          <t>Forecast</t>
        </is>
      </c>
      <c r="I18" s="17" t="inlineStr">
        <is>
          <t>Forecast</t>
        </is>
      </c>
      <c r="J18" s="17" t="inlineStr">
        <is>
          <t>Forecast</t>
        </is>
      </c>
      <c r="K18" s="17" t="inlineStr">
        <is>
          <t>Forecast</t>
        </is>
      </c>
      <c r="L18" s="17" t="inlineStr">
        <is>
          <t>Forecast</t>
        </is>
      </c>
      <c r="M18" s="17" t="inlineStr">
        <is>
          <t>Forecast</t>
        </is>
      </c>
      <c r="N18" s="17" t="inlineStr">
        <is>
          <t>Forecast</t>
        </is>
      </c>
      <c r="O18" s="15" t="inlineStr"/>
      <c r="P18" s="6" t="inlineStr">
        <is>
          <t>Switch a week to Actual once the money has moved. The monthly summary counts how many weeks you have brought up to date and measures how good your guesses were.</t>
        </is>
      </c>
    </row>
    <row r="19" ht="22" customHeight="1">
      <c r="A19" s="7" t="inlineStr">
        <is>
          <t>OPENING BALANCE</t>
        </is>
      </c>
      <c r="B19" s="7" t="n"/>
      <c r="C19" s="7" t="n"/>
      <c r="D19" s="7" t="n"/>
      <c r="E19" s="7" t="n"/>
      <c r="F19" s="7" t="n"/>
      <c r="G19" s="7" t="n"/>
      <c r="H19" s="7" t="n"/>
      <c r="I19" s="7" t="n"/>
      <c r="J19" s="7" t="n"/>
      <c r="K19" s="7" t="n"/>
      <c r="L19" s="7" t="n"/>
      <c r="M19" s="7" t="n"/>
      <c r="N19" s="7" t="n"/>
      <c r="O19" s="7" t="n"/>
      <c r="P19" s="7" t="n"/>
    </row>
    <row r="20" ht="35.5" customHeight="1">
      <c r="A20" s="8" t="inlineStr">
        <is>
          <t>Opening cash balance</t>
        </is>
      </c>
      <c r="B20" s="18">
        <f>OpeningBal</f>
        <v/>
      </c>
      <c r="C20" s="18">
        <f>B57</f>
        <v/>
      </c>
      <c r="D20" s="18">
        <f>C57</f>
        <v/>
      </c>
      <c r="E20" s="18">
        <f>D57</f>
        <v/>
      </c>
      <c r="F20" s="18">
        <f>E57</f>
        <v/>
      </c>
      <c r="G20" s="18">
        <f>F57</f>
        <v/>
      </c>
      <c r="H20" s="18">
        <f>G57</f>
        <v/>
      </c>
      <c r="I20" s="18">
        <f>H57</f>
        <v/>
      </c>
      <c r="J20" s="18">
        <f>I57</f>
        <v/>
      </c>
      <c r="K20" s="18">
        <f>J57</f>
        <v/>
      </c>
      <c r="L20" s="18">
        <f>K57</f>
        <v/>
      </c>
      <c r="M20" s="18">
        <f>L57</f>
        <v/>
      </c>
      <c r="N20" s="18">
        <f>M57</f>
        <v/>
      </c>
      <c r="O20" s="12">
        <f>B20</f>
        <v/>
      </c>
      <c r="P20" s="6" t="inlineStr">
        <is>
          <t>Set once, at the top of this sheet. Every week after week 1 reads the closing balance of the week before, so the chain cannot break.</t>
        </is>
      </c>
    </row>
    <row r="21" ht="22" customHeight="1">
      <c r="A21" s="19" t="inlineStr">
        <is>
          <t>CASH COMING IN, WORKED OUT FROM MONEY COMING IN</t>
        </is>
      </c>
      <c r="B21" s="19" t="n"/>
      <c r="C21" s="19" t="n"/>
      <c r="D21" s="19" t="n"/>
      <c r="E21" s="19" t="n"/>
      <c r="F21" s="19" t="n"/>
      <c r="G21" s="19" t="n"/>
      <c r="H21" s="19" t="n"/>
      <c r="I21" s="19" t="n"/>
      <c r="J21" s="19" t="n"/>
      <c r="K21" s="19" t="n"/>
      <c r="L21" s="19" t="n"/>
      <c r="M21" s="19" t="n"/>
      <c r="N21" s="19" t="n"/>
      <c r="O21" s="19" t="n"/>
      <c r="P21" s="19" t="n"/>
    </row>
    <row r="22" ht="25" customHeight="1">
      <c r="A22" s="20" t="inlineStr">
        <is>
          <t>Cash sales and card payments</t>
        </is>
      </c>
      <c r="B22" s="18">
        <f>'Money coming in'!B90</f>
        <v/>
      </c>
      <c r="C22" s="18">
        <f>'Money coming in'!C90</f>
        <v/>
      </c>
      <c r="D22" s="18">
        <f>'Money coming in'!D90</f>
        <v/>
      </c>
      <c r="E22" s="18">
        <f>'Money coming in'!E90</f>
        <v/>
      </c>
      <c r="F22" s="18">
        <f>'Money coming in'!F90</f>
        <v/>
      </c>
      <c r="G22" s="18">
        <f>'Money coming in'!G90</f>
        <v/>
      </c>
      <c r="H22" s="18">
        <f>'Money coming in'!H90</f>
        <v/>
      </c>
      <c r="I22" s="18">
        <f>'Money coming in'!I90</f>
        <v/>
      </c>
      <c r="J22" s="18">
        <f>'Money coming in'!J90</f>
        <v/>
      </c>
      <c r="K22" s="18">
        <f>'Money coming in'!K90</f>
        <v/>
      </c>
      <c r="L22" s="18">
        <f>'Money coming in'!L90</f>
        <v/>
      </c>
      <c r="M22" s="18">
        <f>'Money coming in'!M90</f>
        <v/>
      </c>
      <c r="N22" s="18">
        <f>'Money coming in'!N90</f>
        <v/>
      </c>
      <c r="O22" s="12">
        <f>SUM(B22:N22)</f>
        <v/>
      </c>
      <c r="P22" s="6" t="inlineStr">
        <is>
          <t>From the recurring income block on the Money coming in sheet. Money actually received, not invoices issued.</t>
        </is>
      </c>
    </row>
    <row r="23" ht="35.5" customHeight="1">
      <c r="A23" s="20" t="inlineStr">
        <is>
          <t>Collections from debtors</t>
        </is>
      </c>
      <c r="B23" s="18">
        <f>SUMIFS(InAmt,InWk,B16)</f>
        <v/>
      </c>
      <c r="C23" s="18">
        <f>SUMIFS(InAmt,InWk,C16)</f>
        <v/>
      </c>
      <c r="D23" s="18">
        <f>SUMIFS(InAmt,InWk,D16)</f>
        <v/>
      </c>
      <c r="E23" s="18">
        <f>SUMIFS(InAmt,InWk,E16)</f>
        <v/>
      </c>
      <c r="F23" s="18">
        <f>SUMIFS(InAmt,InWk,F16)</f>
        <v/>
      </c>
      <c r="G23" s="18">
        <f>SUMIFS(InAmt,InWk,G16)</f>
        <v/>
      </c>
      <c r="H23" s="18">
        <f>SUMIFS(InAmt,InWk,H16)</f>
        <v/>
      </c>
      <c r="I23" s="18">
        <f>SUMIFS(InAmt,InWk,I16)</f>
        <v/>
      </c>
      <c r="J23" s="18">
        <f>SUMIFS(InAmt,InWk,J16)</f>
        <v/>
      </c>
      <c r="K23" s="18">
        <f>SUMIFS(InAmt,InWk,K16)</f>
        <v/>
      </c>
      <c r="L23" s="18">
        <f>SUMIFS(InAmt,InWk,L16)</f>
        <v/>
      </c>
      <c r="M23" s="18">
        <f>SUMIFS(InAmt,InWk,M16)</f>
        <v/>
      </c>
      <c r="N23" s="18">
        <f>SUMIFS(InAmt,InWk,N16)</f>
        <v/>
      </c>
      <c r="O23" s="12">
        <f>SUM(B23:N23)</f>
        <v/>
      </c>
      <c r="P23" s="6" t="inlineStr">
        <is>
          <t>Added up from the invoice list on the Money coming in sheet, using the week each receipt is honestly expected, not the week it is due.</t>
        </is>
      </c>
    </row>
    <row r="24">
      <c r="A24" s="20" t="inlineStr">
        <is>
          <t>Loan or facility drawdowns</t>
        </is>
      </c>
      <c r="B24" s="18">
        <f>'Money coming in'!B92</f>
        <v/>
      </c>
      <c r="C24" s="18">
        <f>'Money coming in'!C92</f>
        <v/>
      </c>
      <c r="D24" s="18">
        <f>'Money coming in'!D92</f>
        <v/>
      </c>
      <c r="E24" s="18">
        <f>'Money coming in'!E92</f>
        <v/>
      </c>
      <c r="F24" s="18">
        <f>'Money coming in'!F92</f>
        <v/>
      </c>
      <c r="G24" s="18">
        <f>'Money coming in'!G92</f>
        <v/>
      </c>
      <c r="H24" s="18">
        <f>'Money coming in'!H92</f>
        <v/>
      </c>
      <c r="I24" s="18">
        <f>'Money coming in'!I92</f>
        <v/>
      </c>
      <c r="J24" s="18">
        <f>'Money coming in'!J92</f>
        <v/>
      </c>
      <c r="K24" s="18">
        <f>'Money coming in'!K92</f>
        <v/>
      </c>
      <c r="L24" s="18">
        <f>'Money coming in'!L92</f>
        <v/>
      </c>
      <c r="M24" s="18">
        <f>'Money coming in'!M92</f>
        <v/>
      </c>
      <c r="N24" s="18">
        <f>'Money coming in'!N92</f>
        <v/>
      </c>
      <c r="O24" s="12">
        <f>SUM(B24:N24)</f>
        <v/>
      </c>
    </row>
    <row r="25">
      <c r="A25" s="20" t="inlineStr">
        <is>
          <t>Capital injected by the owners</t>
        </is>
      </c>
      <c r="B25" s="18">
        <f>'Money coming in'!B91</f>
        <v/>
      </c>
      <c r="C25" s="18">
        <f>'Money coming in'!C91</f>
        <v/>
      </c>
      <c r="D25" s="18">
        <f>'Money coming in'!D91</f>
        <v/>
      </c>
      <c r="E25" s="18">
        <f>'Money coming in'!E91</f>
        <v/>
      </c>
      <c r="F25" s="18">
        <f>'Money coming in'!F91</f>
        <v/>
      </c>
      <c r="G25" s="18">
        <f>'Money coming in'!G91</f>
        <v/>
      </c>
      <c r="H25" s="18">
        <f>'Money coming in'!H91</f>
        <v/>
      </c>
      <c r="I25" s="18">
        <f>'Money coming in'!I91</f>
        <v/>
      </c>
      <c r="J25" s="18">
        <f>'Money coming in'!J91</f>
        <v/>
      </c>
      <c r="K25" s="18">
        <f>'Money coming in'!K91</f>
        <v/>
      </c>
      <c r="L25" s="18">
        <f>'Money coming in'!L91</f>
        <v/>
      </c>
      <c r="M25" s="18">
        <f>'Money coming in'!M91</f>
        <v/>
      </c>
      <c r="N25" s="18">
        <f>'Money coming in'!N91</f>
        <v/>
      </c>
      <c r="O25" s="12">
        <f>SUM(B25:N25)</f>
        <v/>
      </c>
    </row>
    <row r="26">
      <c r="A26" s="20" t="inlineStr">
        <is>
          <t>Grant funding received</t>
        </is>
      </c>
      <c r="B26" s="18">
        <f>'Money coming in'!B93</f>
        <v/>
      </c>
      <c r="C26" s="18">
        <f>'Money coming in'!C93</f>
        <v/>
      </c>
      <c r="D26" s="18">
        <f>'Money coming in'!D93</f>
        <v/>
      </c>
      <c r="E26" s="18">
        <f>'Money coming in'!E93</f>
        <v/>
      </c>
      <c r="F26" s="18">
        <f>'Money coming in'!F93</f>
        <v/>
      </c>
      <c r="G26" s="18">
        <f>'Money coming in'!G93</f>
        <v/>
      </c>
      <c r="H26" s="18">
        <f>'Money coming in'!H93</f>
        <v/>
      </c>
      <c r="I26" s="18">
        <f>'Money coming in'!I93</f>
        <v/>
      </c>
      <c r="J26" s="18">
        <f>'Money coming in'!J93</f>
        <v/>
      </c>
      <c r="K26" s="18">
        <f>'Money coming in'!K93</f>
        <v/>
      </c>
      <c r="L26" s="18">
        <f>'Money coming in'!L93</f>
        <v/>
      </c>
      <c r="M26" s="18">
        <f>'Money coming in'!M93</f>
        <v/>
      </c>
      <c r="N26" s="18">
        <f>'Money coming in'!N93</f>
        <v/>
      </c>
      <c r="O26" s="12">
        <f>SUM(B26:N26)</f>
        <v/>
      </c>
    </row>
    <row r="27" ht="22" customHeight="1">
      <c r="A27" s="21" t="inlineStr">
        <is>
          <t>CASH COMING IN, TYPED BY HAND</t>
        </is>
      </c>
      <c r="B27" s="21" t="n"/>
      <c r="C27" s="21" t="n"/>
      <c r="D27" s="21" t="n"/>
      <c r="E27" s="21" t="n"/>
      <c r="F27" s="21" t="n"/>
      <c r="G27" s="21" t="n"/>
      <c r="H27" s="21" t="n"/>
      <c r="I27" s="21" t="n"/>
      <c r="J27" s="21" t="n"/>
      <c r="K27" s="21" t="n"/>
      <c r="L27" s="21" t="n"/>
      <c r="M27" s="21" t="n"/>
      <c r="N27" s="21" t="n"/>
      <c r="O27" s="21" t="n"/>
      <c r="P27" s="21" t="n"/>
    </row>
    <row r="28" ht="25" customHeight="1">
      <c r="A28" s="20" t="inlineStr">
        <is>
          <t>Collections you are adding by hand</t>
        </is>
      </c>
      <c r="B28" s="22" t="n"/>
      <c r="C28" s="22" t="n"/>
      <c r="D28" s="22" t="n"/>
      <c r="E28" s="22" t="n"/>
      <c r="F28" s="22" t="n"/>
      <c r="G28" s="22" t="n"/>
      <c r="H28" s="22" t="n"/>
      <c r="I28" s="22" t="n"/>
      <c r="J28" s="22" t="n"/>
      <c r="K28" s="22" t="n"/>
      <c r="L28" s="22" t="n"/>
      <c r="M28" s="22" t="n"/>
      <c r="N28" s="22" t="n"/>
      <c r="O28" s="12">
        <f>SUM(B28:N28)</f>
        <v/>
      </c>
      <c r="P28" s="6" t="inlineStr">
        <is>
          <t>Use this row if you would rather not list invoices on the builder sheet. Nothing on this row is double counted.</t>
        </is>
      </c>
    </row>
    <row r="29">
      <c r="A29" s="20" t="inlineStr">
        <is>
          <t>Deposits and advances from customers</t>
        </is>
      </c>
      <c r="B29" s="22" t="n"/>
      <c r="C29" s="22" t="n"/>
      <c r="D29" s="22" t="n"/>
      <c r="E29" s="22" t="n"/>
      <c r="F29" s="22" t="n"/>
      <c r="G29" s="22" t="n"/>
      <c r="H29" s="22" t="n"/>
      <c r="I29" s="22" t="n"/>
      <c r="J29" s="22" t="n"/>
      <c r="K29" s="22" t="n"/>
      <c r="L29" s="22" t="n"/>
      <c r="M29" s="22" t="n"/>
      <c r="N29" s="22" t="n"/>
      <c r="O29" s="12">
        <f>SUM(B29:N29)</f>
        <v/>
      </c>
    </row>
    <row r="30">
      <c r="A30" s="20" t="inlineStr">
        <is>
          <t>Proceeds from selling an asset</t>
        </is>
      </c>
      <c r="B30" s="22" t="n"/>
      <c r="C30" s="22" t="n"/>
      <c r="D30" s="22" t="n"/>
      <c r="E30" s="22" t="n"/>
      <c r="F30" s="22" t="n"/>
      <c r="G30" s="22" t="n"/>
      <c r="H30" s="22" t="n"/>
      <c r="I30" s="22" t="n"/>
      <c r="J30" s="22" t="n"/>
      <c r="K30" s="22" t="n"/>
      <c r="L30" s="22" t="n"/>
      <c r="M30" s="22" t="n"/>
      <c r="N30" s="22" t="n"/>
      <c r="O30" s="12">
        <f>SUM(B30:N30)</f>
        <v/>
      </c>
    </row>
    <row r="31">
      <c r="A31" s="20" t="inlineStr">
        <is>
          <t>Interest and other income</t>
        </is>
      </c>
      <c r="B31" s="22" t="n"/>
      <c r="C31" s="22" t="n"/>
      <c r="D31" s="22" t="n"/>
      <c r="E31" s="22" t="n"/>
      <c r="F31" s="22" t="n"/>
      <c r="G31" s="22" t="n"/>
      <c r="H31" s="22" t="n"/>
      <c r="I31" s="22" t="n"/>
      <c r="J31" s="22" t="n"/>
      <c r="K31" s="22" t="n"/>
      <c r="L31" s="22" t="n"/>
      <c r="M31" s="22" t="n"/>
      <c r="N31" s="22" t="n"/>
      <c r="O31" s="12">
        <f>SUM(B31:N31)</f>
        <v/>
      </c>
    </row>
    <row r="32">
      <c r="A32" s="23" t="inlineStr">
        <is>
          <t>TOTAL CASH COMING IN</t>
        </is>
      </c>
      <c r="B32" s="24">
        <f>SUM(B22:B31)</f>
        <v/>
      </c>
      <c r="C32" s="24">
        <f>SUM(C22:C31)</f>
        <v/>
      </c>
      <c r="D32" s="24">
        <f>SUM(D22:D31)</f>
        <v/>
      </c>
      <c r="E32" s="24">
        <f>SUM(E22:E31)</f>
        <v/>
      </c>
      <c r="F32" s="24">
        <f>SUM(F22:F31)</f>
        <v/>
      </c>
      <c r="G32" s="24">
        <f>SUM(G22:G31)</f>
        <v/>
      </c>
      <c r="H32" s="24">
        <f>SUM(H22:H31)</f>
        <v/>
      </c>
      <c r="I32" s="24">
        <f>SUM(I22:I31)</f>
        <v/>
      </c>
      <c r="J32" s="24">
        <f>SUM(J22:J31)</f>
        <v/>
      </c>
      <c r="K32" s="24">
        <f>SUM(K22:K31)</f>
        <v/>
      </c>
      <c r="L32" s="24">
        <f>SUM(L22:L31)</f>
        <v/>
      </c>
      <c r="M32" s="24">
        <f>SUM(M22:M31)</f>
        <v/>
      </c>
      <c r="N32" s="24">
        <f>SUM(N22:N31)</f>
        <v/>
      </c>
      <c r="O32" s="24">
        <f>SUM(O22:O31)</f>
        <v/>
      </c>
      <c r="P32" s="25" t="n"/>
    </row>
    <row r="33" ht="22" customHeight="1">
      <c r="A33" s="19" t="inlineStr">
        <is>
          <t>CASH GOING OUT, WORKED OUT FROM MONEY GOING OUT</t>
        </is>
      </c>
      <c r="B33" s="19" t="n"/>
      <c r="C33" s="19" t="n"/>
      <c r="D33" s="19" t="n"/>
      <c r="E33" s="19" t="n"/>
      <c r="F33" s="19" t="n"/>
      <c r="G33" s="19" t="n"/>
      <c r="H33" s="19" t="n"/>
      <c r="I33" s="19" t="n"/>
      <c r="J33" s="19" t="n"/>
      <c r="K33" s="19" t="n"/>
      <c r="L33" s="19" t="n"/>
      <c r="M33" s="19" t="n"/>
      <c r="N33" s="19" t="n"/>
      <c r="O33" s="19" t="n"/>
      <c r="P33" s="19" t="n"/>
    </row>
    <row r="34" ht="25" customHeight="1">
      <c r="A34" s="20" t="inlineStr">
        <is>
          <t>Supplier and other commitments</t>
        </is>
      </c>
      <c r="B34" s="18">
        <f>SUMIFS(OutAmt,OutWk,B16)</f>
        <v/>
      </c>
      <c r="C34" s="18">
        <f>SUMIFS(OutAmt,OutWk,C16)</f>
        <v/>
      </c>
      <c r="D34" s="18">
        <f>SUMIFS(OutAmt,OutWk,D16)</f>
        <v/>
      </c>
      <c r="E34" s="18">
        <f>SUMIFS(OutAmt,OutWk,E16)</f>
        <v/>
      </c>
      <c r="F34" s="18">
        <f>SUMIFS(OutAmt,OutWk,F16)</f>
        <v/>
      </c>
      <c r="G34" s="18">
        <f>SUMIFS(OutAmt,OutWk,G16)</f>
        <v/>
      </c>
      <c r="H34" s="18">
        <f>SUMIFS(OutAmt,OutWk,H16)</f>
        <v/>
      </c>
      <c r="I34" s="18">
        <f>SUMIFS(OutAmt,OutWk,I16)</f>
        <v/>
      </c>
      <c r="J34" s="18">
        <f>SUMIFS(OutAmt,OutWk,J16)</f>
        <v/>
      </c>
      <c r="K34" s="18">
        <f>SUMIFS(OutAmt,OutWk,K16)</f>
        <v/>
      </c>
      <c r="L34" s="18">
        <f>SUMIFS(OutAmt,OutWk,L16)</f>
        <v/>
      </c>
      <c r="M34" s="18">
        <f>SUMIFS(OutAmt,OutWk,M16)</f>
        <v/>
      </c>
      <c r="N34" s="18">
        <f>SUMIFS(OutAmt,OutWk,N16)</f>
        <v/>
      </c>
      <c r="O34" s="12">
        <f>SUM(B34:N34)</f>
        <v/>
      </c>
      <c r="P34" s="6" t="inlineStr">
        <is>
          <t>Every commitment you listed on the Money going out sheet, dropped into the week its due date falls in.</t>
        </is>
      </c>
    </row>
    <row r="35" ht="35.5" customHeight="1">
      <c r="A35" s="20" t="inlineStr">
        <is>
          <t>PAYE, UIF and SDL to SARS</t>
        </is>
      </c>
      <c r="B35" s="18">
        <f>SUMIFS(PayeAmt,PayeWk,B16)</f>
        <v/>
      </c>
      <c r="C35" s="18">
        <f>SUMIFS(PayeAmt,PayeWk,C16)</f>
        <v/>
      </c>
      <c r="D35" s="18">
        <f>SUMIFS(PayeAmt,PayeWk,D16)</f>
        <v/>
      </c>
      <c r="E35" s="18">
        <f>SUMIFS(PayeAmt,PayeWk,E16)</f>
        <v/>
      </c>
      <c r="F35" s="18">
        <f>SUMIFS(PayeAmt,PayeWk,F16)</f>
        <v/>
      </c>
      <c r="G35" s="18">
        <f>SUMIFS(PayeAmt,PayeWk,G16)</f>
        <v/>
      </c>
      <c r="H35" s="18">
        <f>SUMIFS(PayeAmt,PayeWk,H16)</f>
        <v/>
      </c>
      <c r="I35" s="18">
        <f>SUMIFS(PayeAmt,PayeWk,I16)</f>
        <v/>
      </c>
      <c r="J35" s="18">
        <f>SUMIFS(PayeAmt,PayeWk,J16)</f>
        <v/>
      </c>
      <c r="K35" s="18">
        <f>SUMIFS(PayeAmt,PayeWk,K16)</f>
        <v/>
      </c>
      <c r="L35" s="18">
        <f>SUMIFS(PayeAmt,PayeWk,L16)</f>
        <v/>
      </c>
      <c r="M35" s="18">
        <f>SUMIFS(PayeAmt,PayeWk,M16)</f>
        <v/>
      </c>
      <c r="N35" s="18">
        <f>SUMIFS(PayeAmt,PayeWk,N16)</f>
        <v/>
      </c>
      <c r="O35" s="12">
        <f>SUM(B35:N35)</f>
        <v/>
      </c>
      <c r="P35" s="6" t="inlineStr">
        <is>
          <t>From the statutory calendar. Due 7 days after the end of the payroll month, and the deadline moves backwards off a weekend or a public holiday, not forwards.</t>
        </is>
      </c>
    </row>
    <row r="36" ht="25" customHeight="1">
      <c r="A36" s="20" t="inlineStr">
        <is>
          <t>VAT to SARS</t>
        </is>
      </c>
      <c r="B36" s="18">
        <f>SUMIFS(VatAmt,VatWk,B16)</f>
        <v/>
      </c>
      <c r="C36" s="18">
        <f>SUMIFS(VatAmt,VatWk,C16)</f>
        <v/>
      </c>
      <c r="D36" s="18">
        <f>SUMIFS(VatAmt,VatWk,D16)</f>
        <v/>
      </c>
      <c r="E36" s="18">
        <f>SUMIFS(VatAmt,VatWk,E16)</f>
        <v/>
      </c>
      <c r="F36" s="18">
        <f>SUMIFS(VatAmt,VatWk,F16)</f>
        <v/>
      </c>
      <c r="G36" s="18">
        <f>SUMIFS(VatAmt,VatWk,G16)</f>
        <v/>
      </c>
      <c r="H36" s="18">
        <f>SUMIFS(VatAmt,VatWk,H16)</f>
        <v/>
      </c>
      <c r="I36" s="18">
        <f>SUMIFS(VatAmt,VatWk,I16)</f>
        <v/>
      </c>
      <c r="J36" s="18">
        <f>SUMIFS(VatAmt,VatWk,J16)</f>
        <v/>
      </c>
      <c r="K36" s="18">
        <f>SUMIFS(VatAmt,VatWk,K16)</f>
        <v/>
      </c>
      <c r="L36" s="18">
        <f>SUMIFS(VatAmt,VatWk,L16)</f>
        <v/>
      </c>
      <c r="M36" s="18">
        <f>SUMIFS(VatAmt,VatWk,M16)</f>
        <v/>
      </c>
      <c r="N36" s="18">
        <f>SUMIFS(VatAmt,VatWk,N16)</f>
        <v/>
      </c>
      <c r="O36" s="12">
        <f>SUM(B36:N36)</f>
        <v/>
      </c>
      <c r="P36" s="6" t="inlineStr">
        <is>
          <t>From the statutory calendar. On eFiling, the last business day of the month after the VAT period ends.</t>
        </is>
      </c>
    </row>
    <row r="37" ht="25" customHeight="1">
      <c r="A37" s="20" t="inlineStr">
        <is>
          <t>Provisional and income tax</t>
        </is>
      </c>
      <c r="B37" s="18">
        <f>SUMIFS(ProvAmt,ProvWk,B16)</f>
        <v/>
      </c>
      <c r="C37" s="18">
        <f>SUMIFS(ProvAmt,ProvWk,C16)</f>
        <v/>
      </c>
      <c r="D37" s="18">
        <f>SUMIFS(ProvAmt,ProvWk,D16)</f>
        <v/>
      </c>
      <c r="E37" s="18">
        <f>SUMIFS(ProvAmt,ProvWk,E16)</f>
        <v/>
      </c>
      <c r="F37" s="18">
        <f>SUMIFS(ProvAmt,ProvWk,F16)</f>
        <v/>
      </c>
      <c r="G37" s="18">
        <f>SUMIFS(ProvAmt,ProvWk,G16)</f>
        <v/>
      </c>
      <c r="H37" s="18">
        <f>SUMIFS(ProvAmt,ProvWk,H16)</f>
        <v/>
      </c>
      <c r="I37" s="18">
        <f>SUMIFS(ProvAmt,ProvWk,I16)</f>
        <v/>
      </c>
      <c r="J37" s="18">
        <f>SUMIFS(ProvAmt,ProvWk,J16)</f>
        <v/>
      </c>
      <c r="K37" s="18">
        <f>SUMIFS(ProvAmt,ProvWk,K16)</f>
        <v/>
      </c>
      <c r="L37" s="18">
        <f>SUMIFS(ProvAmt,ProvWk,L16)</f>
        <v/>
      </c>
      <c r="M37" s="18">
        <f>SUMIFS(ProvAmt,ProvWk,M16)</f>
        <v/>
      </c>
      <c r="N37" s="18">
        <f>SUMIFS(ProvAmt,ProvWk,N16)</f>
        <v/>
      </c>
      <c r="O37" s="12">
        <f>SUM(B37:N37)</f>
        <v/>
      </c>
      <c r="P37" s="6" t="inlineStr">
        <is>
          <t>From the statutory calendar. First payment 31 August, second the last day of February.</t>
        </is>
      </c>
    </row>
    <row r="38" ht="22" customHeight="1">
      <c r="A38" s="21" t="inlineStr">
        <is>
          <t>CASH GOING OUT, TYPED BY HAND</t>
        </is>
      </c>
      <c r="B38" s="21" t="n"/>
      <c r="C38" s="21" t="n"/>
      <c r="D38" s="21" t="n"/>
      <c r="E38" s="21" t="n"/>
      <c r="F38" s="21" t="n"/>
      <c r="G38" s="21" t="n"/>
      <c r="H38" s="21" t="n"/>
      <c r="I38" s="21" t="n"/>
      <c r="J38" s="21" t="n"/>
      <c r="K38" s="21" t="n"/>
      <c r="L38" s="21" t="n"/>
      <c r="M38" s="21" t="n"/>
      <c r="N38" s="21" t="n"/>
      <c r="O38" s="21" t="n"/>
      <c r="P38" s="21" t="n"/>
    </row>
    <row r="39" ht="25" customHeight="1">
      <c r="A39" s="20" t="inlineStr">
        <is>
          <t>Stock, materials and suppliers</t>
        </is>
      </c>
      <c r="B39" s="22" t="n"/>
      <c r="C39" s="22" t="n"/>
      <c r="D39" s="22" t="n"/>
      <c r="E39" s="22" t="n"/>
      <c r="F39" s="22" t="n"/>
      <c r="G39" s="22" t="n"/>
      <c r="H39" s="22" t="n"/>
      <c r="I39" s="22" t="n"/>
      <c r="J39" s="22" t="n"/>
      <c r="K39" s="22" t="n"/>
      <c r="L39" s="22" t="n"/>
      <c r="M39" s="22" t="n"/>
      <c r="N39" s="22" t="n"/>
      <c r="O39" s="12">
        <f>SUM(B39:N39)</f>
        <v/>
      </c>
      <c r="P39" s="6" t="inlineStr">
        <is>
          <t>Anything you buy in and pay for directly, over and above the commitments you listed on the builder sheet.</t>
        </is>
      </c>
    </row>
    <row r="40">
      <c r="A40" s="20" t="inlineStr">
        <is>
          <t>Subcontractors and casual labour</t>
        </is>
      </c>
      <c r="B40" s="22" t="n"/>
      <c r="C40" s="22" t="n"/>
      <c r="D40" s="22" t="n"/>
      <c r="E40" s="22" t="n"/>
      <c r="F40" s="22" t="n"/>
      <c r="G40" s="22" t="n"/>
      <c r="H40" s="22" t="n"/>
      <c r="I40" s="22" t="n"/>
      <c r="J40" s="22" t="n"/>
      <c r="K40" s="22" t="n"/>
      <c r="L40" s="22" t="n"/>
      <c r="M40" s="22" t="n"/>
      <c r="N40" s="22" t="n"/>
      <c r="O40" s="12">
        <f>SUM(B40:N40)</f>
        <v/>
      </c>
    </row>
    <row r="41" ht="35.5" customHeight="1">
      <c r="A41" s="20" t="inlineStr">
        <is>
          <t>Salaries and wages</t>
        </is>
      </c>
      <c r="B41" s="22" t="n"/>
      <c r="C41" s="22" t="n"/>
      <c r="D41" s="22" t="n"/>
      <c r="E41" s="22" t="n"/>
      <c r="F41" s="22" t="n"/>
      <c r="G41" s="22" t="n"/>
      <c r="H41" s="22" t="n"/>
      <c r="I41" s="22" t="n"/>
      <c r="J41" s="22" t="n"/>
      <c r="K41" s="22" t="n"/>
      <c r="L41" s="22" t="n"/>
      <c r="M41" s="22" t="n"/>
      <c r="N41" s="22" t="n"/>
      <c r="O41" s="12">
        <f>SUM(B41:N41)</f>
        <v/>
      </c>
      <c r="P41" s="6" t="inlineStr">
        <is>
          <t>Most businesses pay on the 25th or the last working day. Put it in the right week, because it is the biggest payment most small businesses make.</t>
        </is>
      </c>
    </row>
    <row r="42">
      <c r="A42" s="20" t="inlineStr">
        <is>
          <t>Rent and municipal rates</t>
        </is>
      </c>
      <c r="B42" s="22" t="n"/>
      <c r="C42" s="22" t="n"/>
      <c r="D42" s="22" t="n"/>
      <c r="E42" s="22" t="n"/>
      <c r="F42" s="22" t="n"/>
      <c r="G42" s="22" t="n"/>
      <c r="H42" s="22" t="n"/>
      <c r="I42" s="22" t="n"/>
      <c r="J42" s="22" t="n"/>
      <c r="K42" s="22" t="n"/>
      <c r="L42" s="22" t="n"/>
      <c r="M42" s="22" t="n"/>
      <c r="N42" s="22" t="n"/>
      <c r="O42" s="12">
        <f>SUM(B42:N42)</f>
        <v/>
      </c>
    </row>
    <row r="43">
      <c r="A43" s="20" t="inlineStr">
        <is>
          <t>Electricity, water and generator fuel</t>
        </is>
      </c>
      <c r="B43" s="22" t="n"/>
      <c r="C43" s="22" t="n"/>
      <c r="D43" s="22" t="n"/>
      <c r="E43" s="22" t="n"/>
      <c r="F43" s="22" t="n"/>
      <c r="G43" s="22" t="n"/>
      <c r="H43" s="22" t="n"/>
      <c r="I43" s="22" t="n"/>
      <c r="J43" s="22" t="n"/>
      <c r="K43" s="22" t="n"/>
      <c r="L43" s="22" t="n"/>
      <c r="M43" s="22" t="n"/>
      <c r="N43" s="22" t="n"/>
      <c r="O43" s="12">
        <f>SUM(B43:N43)</f>
        <v/>
      </c>
    </row>
    <row r="44">
      <c r="A44" s="20" t="inlineStr">
        <is>
          <t>Data, airtime and internet</t>
        </is>
      </c>
      <c r="B44" s="22" t="n"/>
      <c r="C44" s="22" t="n"/>
      <c r="D44" s="22" t="n"/>
      <c r="E44" s="22" t="n"/>
      <c r="F44" s="22" t="n"/>
      <c r="G44" s="22" t="n"/>
      <c r="H44" s="22" t="n"/>
      <c r="I44" s="22" t="n"/>
      <c r="J44" s="22" t="n"/>
      <c r="K44" s="22" t="n"/>
      <c r="L44" s="22" t="n"/>
      <c r="M44" s="22" t="n"/>
      <c r="N44" s="22" t="n"/>
      <c r="O44" s="12">
        <f>SUM(B44:N44)</f>
        <v/>
      </c>
    </row>
    <row r="45">
      <c r="A45" s="20" t="inlineStr">
        <is>
          <t>Vehicles, fuel and travel</t>
        </is>
      </c>
      <c r="B45" s="22" t="n"/>
      <c r="C45" s="22" t="n"/>
      <c r="D45" s="22" t="n"/>
      <c r="E45" s="22" t="n"/>
      <c r="F45" s="22" t="n"/>
      <c r="G45" s="22" t="n"/>
      <c r="H45" s="22" t="n"/>
      <c r="I45" s="22" t="n"/>
      <c r="J45" s="22" t="n"/>
      <c r="K45" s="22" t="n"/>
      <c r="L45" s="22" t="n"/>
      <c r="M45" s="22" t="n"/>
      <c r="N45" s="22" t="n"/>
      <c r="O45" s="12">
        <f>SUM(B45:N45)</f>
        <v/>
      </c>
    </row>
    <row r="46">
      <c r="A46" s="20" t="inlineStr">
        <is>
          <t>Marketing and advertising</t>
        </is>
      </c>
      <c r="B46" s="22" t="n"/>
      <c r="C46" s="22" t="n"/>
      <c r="D46" s="22" t="n"/>
      <c r="E46" s="22" t="n"/>
      <c r="F46" s="22" t="n"/>
      <c r="G46" s="22" t="n"/>
      <c r="H46" s="22" t="n"/>
      <c r="I46" s="22" t="n"/>
      <c r="J46" s="22" t="n"/>
      <c r="K46" s="22" t="n"/>
      <c r="L46" s="22" t="n"/>
      <c r="M46" s="22" t="n"/>
      <c r="N46" s="22" t="n"/>
      <c r="O46" s="12">
        <f>SUM(B46:N46)</f>
        <v/>
      </c>
    </row>
    <row r="47">
      <c r="A47" s="20" t="inlineStr">
        <is>
          <t>Insurance</t>
        </is>
      </c>
      <c r="B47" s="22" t="n"/>
      <c r="C47" s="22" t="n"/>
      <c r="D47" s="22" t="n"/>
      <c r="E47" s="22" t="n"/>
      <c r="F47" s="22" t="n"/>
      <c r="G47" s="22" t="n"/>
      <c r="H47" s="22" t="n"/>
      <c r="I47" s="22" t="n"/>
      <c r="J47" s="22" t="n"/>
      <c r="K47" s="22" t="n"/>
      <c r="L47" s="22" t="n"/>
      <c r="M47" s="22" t="n"/>
      <c r="N47" s="22" t="n"/>
      <c r="O47" s="12">
        <f>SUM(B47:N47)</f>
        <v/>
      </c>
    </row>
    <row r="48">
      <c r="A48" s="20" t="inlineStr">
        <is>
          <t>Accounting and professional fees</t>
        </is>
      </c>
      <c r="B48" s="22" t="n"/>
      <c r="C48" s="22" t="n"/>
      <c r="D48" s="22" t="n"/>
      <c r="E48" s="22" t="n"/>
      <c r="F48" s="22" t="n"/>
      <c r="G48" s="22" t="n"/>
      <c r="H48" s="22" t="n"/>
      <c r="I48" s="22" t="n"/>
      <c r="J48" s="22" t="n"/>
      <c r="K48" s="22" t="n"/>
      <c r="L48" s="22" t="n"/>
      <c r="M48" s="22" t="n"/>
      <c r="N48" s="22" t="n"/>
      <c r="O48" s="12">
        <f>SUM(B48:N48)</f>
        <v/>
      </c>
    </row>
    <row r="49">
      <c r="A49" s="20" t="inlineStr">
        <is>
          <t>Bank charges and card machine fees</t>
        </is>
      </c>
      <c r="B49" s="22" t="n"/>
      <c r="C49" s="22" t="n"/>
      <c r="D49" s="22" t="n"/>
      <c r="E49" s="22" t="n"/>
      <c r="F49" s="22" t="n"/>
      <c r="G49" s="22" t="n"/>
      <c r="H49" s="22" t="n"/>
      <c r="I49" s="22" t="n"/>
      <c r="J49" s="22" t="n"/>
      <c r="K49" s="22" t="n"/>
      <c r="L49" s="22" t="n"/>
      <c r="M49" s="22" t="n"/>
      <c r="N49" s="22" t="n"/>
      <c r="O49" s="12">
        <f>SUM(B49:N49)</f>
        <v/>
      </c>
    </row>
    <row r="50" ht="25" customHeight="1">
      <c r="A50" s="20" t="inlineStr">
        <is>
          <t>Loan and instalment repayments</t>
        </is>
      </c>
      <c r="B50" s="22" t="n"/>
      <c r="C50" s="22" t="n"/>
      <c r="D50" s="22" t="n"/>
      <c r="E50" s="22" t="n"/>
      <c r="F50" s="22" t="n"/>
      <c r="G50" s="22" t="n"/>
      <c r="H50" s="22" t="n"/>
      <c r="I50" s="22" t="n"/>
      <c r="J50" s="22" t="n"/>
      <c r="K50" s="22" t="n"/>
      <c r="L50" s="22" t="n"/>
      <c r="M50" s="22" t="n"/>
      <c r="N50" s="22" t="n"/>
      <c r="O50" s="12">
        <f>SUM(B50:N50)</f>
        <v/>
      </c>
      <c r="P50" s="6" t="inlineStr">
        <is>
          <t>The full debit order, capital and interest together, because that is what leaves the bank.</t>
        </is>
      </c>
    </row>
    <row r="51">
      <c r="A51" s="20" t="inlineStr">
        <is>
          <t>Equipment and asset purchases</t>
        </is>
      </c>
      <c r="B51" s="22" t="n"/>
      <c r="C51" s="22" t="n"/>
      <c r="D51" s="22" t="n"/>
      <c r="E51" s="22" t="n"/>
      <c r="F51" s="22" t="n"/>
      <c r="G51" s="22" t="n"/>
      <c r="H51" s="22" t="n"/>
      <c r="I51" s="22" t="n"/>
      <c r="J51" s="22" t="n"/>
      <c r="K51" s="22" t="n"/>
      <c r="L51" s="22" t="n"/>
      <c r="M51" s="22" t="n"/>
      <c r="N51" s="22" t="n"/>
      <c r="O51" s="12">
        <f>SUM(B51:N51)</f>
        <v/>
      </c>
    </row>
    <row r="52">
      <c r="A52" s="20" t="inlineStr">
        <is>
          <t>Owner drawings or dividends</t>
        </is>
      </c>
      <c r="B52" s="22" t="n"/>
      <c r="C52" s="22" t="n"/>
      <c r="D52" s="22" t="n"/>
      <c r="E52" s="22" t="n"/>
      <c r="F52" s="22" t="n"/>
      <c r="G52" s="22" t="n"/>
      <c r="H52" s="22" t="n"/>
      <c r="I52" s="22" t="n"/>
      <c r="J52" s="22" t="n"/>
      <c r="K52" s="22" t="n"/>
      <c r="L52" s="22" t="n"/>
      <c r="M52" s="22" t="n"/>
      <c r="N52" s="22" t="n"/>
      <c r="O52" s="12">
        <f>SUM(B52:N52)</f>
        <v/>
      </c>
    </row>
    <row r="53">
      <c r="A53" s="20" t="inlineStr">
        <is>
          <t>Other payments</t>
        </is>
      </c>
      <c r="B53" s="22" t="n"/>
      <c r="C53" s="22" t="n"/>
      <c r="D53" s="22" t="n"/>
      <c r="E53" s="22" t="n"/>
      <c r="F53" s="22" t="n"/>
      <c r="G53" s="22" t="n"/>
      <c r="H53" s="22" t="n"/>
      <c r="I53" s="22" t="n"/>
      <c r="J53" s="22" t="n"/>
      <c r="K53" s="22" t="n"/>
      <c r="L53" s="22" t="n"/>
      <c r="M53" s="22" t="n"/>
      <c r="N53" s="22" t="n"/>
      <c r="O53" s="12">
        <f>SUM(B53:N53)</f>
        <v/>
      </c>
    </row>
    <row r="54">
      <c r="A54" s="23" t="inlineStr">
        <is>
          <t>TOTAL CASH GOING OUT</t>
        </is>
      </c>
      <c r="B54" s="24">
        <f>SUM(B34:B53)</f>
        <v/>
      </c>
      <c r="C54" s="24">
        <f>SUM(C34:C53)</f>
        <v/>
      </c>
      <c r="D54" s="24">
        <f>SUM(D34:D53)</f>
        <v/>
      </c>
      <c r="E54" s="24">
        <f>SUM(E34:E53)</f>
        <v/>
      </c>
      <c r="F54" s="24">
        <f>SUM(F34:F53)</f>
        <v/>
      </c>
      <c r="G54" s="24">
        <f>SUM(G34:G53)</f>
        <v/>
      </c>
      <c r="H54" s="24">
        <f>SUM(H34:H53)</f>
        <v/>
      </c>
      <c r="I54" s="24">
        <f>SUM(I34:I53)</f>
        <v/>
      </c>
      <c r="J54" s="24">
        <f>SUM(J34:J53)</f>
        <v/>
      </c>
      <c r="K54" s="24">
        <f>SUM(K34:K53)</f>
        <v/>
      </c>
      <c r="L54" s="24">
        <f>SUM(L34:L53)</f>
        <v/>
      </c>
      <c r="M54" s="24">
        <f>SUM(M34:M53)</f>
        <v/>
      </c>
      <c r="N54" s="24">
        <f>SUM(N34:N53)</f>
        <v/>
      </c>
      <c r="O54" s="24">
        <f>SUM(O34:O53)</f>
        <v/>
      </c>
      <c r="P54" s="25" t="n"/>
    </row>
    <row r="55"/>
    <row r="56" ht="25" customHeight="1">
      <c r="A56" s="26" t="inlineStr">
        <is>
          <t>NET CASH MOVEMENT</t>
        </is>
      </c>
      <c r="B56" s="27">
        <f>B32-B54</f>
        <v/>
      </c>
      <c r="C56" s="27">
        <f>C32-C54</f>
        <v/>
      </c>
      <c r="D56" s="27">
        <f>D32-D54</f>
        <v/>
      </c>
      <c r="E56" s="27">
        <f>E32-E54</f>
        <v/>
      </c>
      <c r="F56" s="27">
        <f>F32-F54</f>
        <v/>
      </c>
      <c r="G56" s="27">
        <f>G32-G54</f>
        <v/>
      </c>
      <c r="H56" s="27">
        <f>H32-H54</f>
        <v/>
      </c>
      <c r="I56" s="27">
        <f>I32-I54</f>
        <v/>
      </c>
      <c r="J56" s="27">
        <f>J32-J54</f>
        <v/>
      </c>
      <c r="K56" s="27">
        <f>K32-K54</f>
        <v/>
      </c>
      <c r="L56" s="27">
        <f>L32-L54</f>
        <v/>
      </c>
      <c r="M56" s="27">
        <f>M32-M54</f>
        <v/>
      </c>
      <c r="N56" s="27">
        <f>N32-N54</f>
        <v/>
      </c>
      <c r="O56" s="27">
        <f>O32-O54</f>
        <v/>
      </c>
      <c r="P56" s="28" t="inlineStr">
        <is>
          <t>Cash in less cash out for that week. A minus is not fatal on its own. A run of them is.</t>
        </is>
      </c>
    </row>
    <row r="57" ht="35.5" customHeight="1">
      <c r="A57" s="23" t="inlineStr">
        <is>
          <t>CLOSING CASH BALANCE</t>
        </is>
      </c>
      <c r="B57" s="24">
        <f>B20+B56</f>
        <v/>
      </c>
      <c r="C57" s="24">
        <f>C20+C56</f>
        <v/>
      </c>
      <c r="D57" s="24">
        <f>D20+D56</f>
        <v/>
      </c>
      <c r="E57" s="24">
        <f>E20+E56</f>
        <v/>
      </c>
      <c r="F57" s="24">
        <f>F20+F56</f>
        <v/>
      </c>
      <c r="G57" s="24">
        <f>G20+G56</f>
        <v/>
      </c>
      <c r="H57" s="24">
        <f>H20+H56</f>
        <v/>
      </c>
      <c r="I57" s="24">
        <f>I20+I56</f>
        <v/>
      </c>
      <c r="J57" s="24">
        <f>J20+J56</f>
        <v/>
      </c>
      <c r="K57" s="24">
        <f>K20+K56</f>
        <v/>
      </c>
      <c r="L57" s="24">
        <f>L20+L56</f>
        <v/>
      </c>
      <c r="M57" s="24">
        <f>M20+M56</f>
        <v/>
      </c>
      <c r="N57" s="24">
        <f>N20+N56</f>
        <v/>
      </c>
      <c r="O57" s="24">
        <f>N57</f>
        <v/>
      </c>
      <c r="P57" s="29" t="inlineStr">
        <is>
          <t>Red below your buffer, amber below the amber threshold, green above it. The total column shows where you end up in week 13.</t>
        </is>
      </c>
    </row>
    <row r="58">
      <c r="A58" s="26" t="inlineStr">
        <is>
          <t>MINIMUM CASH BUFFER</t>
        </is>
      </c>
      <c r="B58" s="27">
        <f>CashBuffer</f>
        <v/>
      </c>
      <c r="C58" s="27">
        <f>CashBuffer</f>
        <v/>
      </c>
      <c r="D58" s="27">
        <f>CashBuffer</f>
        <v/>
      </c>
      <c r="E58" s="27">
        <f>CashBuffer</f>
        <v/>
      </c>
      <c r="F58" s="27">
        <f>CashBuffer</f>
        <v/>
      </c>
      <c r="G58" s="27">
        <f>CashBuffer</f>
        <v/>
      </c>
      <c r="H58" s="27">
        <f>CashBuffer</f>
        <v/>
      </c>
      <c r="I58" s="27">
        <f>CashBuffer</f>
        <v/>
      </c>
      <c r="J58" s="27">
        <f>CashBuffer</f>
        <v/>
      </c>
      <c r="K58" s="27">
        <f>CashBuffer</f>
        <v/>
      </c>
      <c r="L58" s="27">
        <f>CashBuffer</f>
        <v/>
      </c>
      <c r="M58" s="27">
        <f>CashBuffer</f>
        <v/>
      </c>
      <c r="N58" s="27">
        <f>CashBuffer</f>
        <v/>
      </c>
      <c r="O58" s="27">
        <f>CashBuffer</f>
        <v/>
      </c>
      <c r="P58" s="30" t="n"/>
    </row>
    <row r="59" ht="25" customHeight="1">
      <c r="A59" s="26" t="inlineStr">
        <is>
          <t>CASH ABOVE OR BELOW THE BUFFER</t>
        </is>
      </c>
      <c r="B59" s="27">
        <f>B57-CashBuffer</f>
        <v/>
      </c>
      <c r="C59" s="27">
        <f>C57-CashBuffer</f>
        <v/>
      </c>
      <c r="D59" s="27">
        <f>D57-CashBuffer</f>
        <v/>
      </c>
      <c r="E59" s="27">
        <f>E57-CashBuffer</f>
        <v/>
      </c>
      <c r="F59" s="27">
        <f>F57-CashBuffer</f>
        <v/>
      </c>
      <c r="G59" s="27">
        <f>G57-CashBuffer</f>
        <v/>
      </c>
      <c r="H59" s="27">
        <f>H57-CashBuffer</f>
        <v/>
      </c>
      <c r="I59" s="27">
        <f>I57-CashBuffer</f>
        <v/>
      </c>
      <c r="J59" s="27">
        <f>J57-CashBuffer</f>
        <v/>
      </c>
      <c r="K59" s="27">
        <f>K57-CashBuffer</f>
        <v/>
      </c>
      <c r="L59" s="27">
        <f>L57-CashBuffer</f>
        <v/>
      </c>
      <c r="M59" s="27">
        <f>M57-CashBuffer</f>
        <v/>
      </c>
      <c r="N59" s="27">
        <f>N57-CashBuffer</f>
        <v/>
      </c>
      <c r="O59" s="27">
        <f>N57-CashBuffer</f>
        <v/>
      </c>
      <c r="P59" s="28" t="inlineStr">
        <is>
          <t>A minus figure is how much you must find, or delay paying, in that week.</t>
        </is>
      </c>
    </row>
    <row r="60" ht="25" customHeight="1">
      <c r="A60" s="26" t="inlineStr">
        <is>
          <t>WEEKS OF COVER</t>
        </is>
      </c>
      <c r="B60" s="31">
        <f>IF(O54=0,"",B57/(O54/13))</f>
        <v/>
      </c>
      <c r="C60" s="31">
        <f>IF(O54=0,"",C57/(O54/13))</f>
        <v/>
      </c>
      <c r="D60" s="31">
        <f>IF(O54=0,"",D57/(O54/13))</f>
        <v/>
      </c>
      <c r="E60" s="31">
        <f>IF(O54=0,"",E57/(O54/13))</f>
        <v/>
      </c>
      <c r="F60" s="31">
        <f>IF(O54=0,"",F57/(O54/13))</f>
        <v/>
      </c>
      <c r="G60" s="31">
        <f>IF(O54=0,"",G57/(O54/13))</f>
        <v/>
      </c>
      <c r="H60" s="31">
        <f>IF(O54=0,"",H57/(O54/13))</f>
        <v/>
      </c>
      <c r="I60" s="31">
        <f>IF(O54=0,"",I57/(O54/13))</f>
        <v/>
      </c>
      <c r="J60" s="31">
        <f>IF(O54=0,"",J57/(O54/13))</f>
        <v/>
      </c>
      <c r="K60" s="31">
        <f>IF(O54=0,"",K57/(O54/13))</f>
        <v/>
      </c>
      <c r="L60" s="31">
        <f>IF(O54=0,"",L57/(O54/13))</f>
        <v/>
      </c>
      <c r="M60" s="31">
        <f>IF(O54=0,"",M57/(O54/13))</f>
        <v/>
      </c>
      <c r="N60" s="31">
        <f>IF(O54=0,"",N57/(O54/13))</f>
        <v/>
      </c>
      <c r="O60" s="31">
        <f>IF(O54=0,"",N57/(O54/13))</f>
        <v/>
      </c>
      <c r="P60" s="28" t="inlineStr">
        <is>
          <t>Closing balance divided by your average weekly cash out. Under four is tight. Under two is an emergency.</t>
        </is>
      </c>
    </row>
    <row r="61" ht="35.5" customHeight="1">
      <c r="A61" s="26" t="inlineStr">
        <is>
          <t>TRAFFIC LIGHT</t>
        </is>
      </c>
      <c r="B61" s="32">
        <f>IF(B57&lt;CashBuffer,"RED",IF(B57&lt;CashBuffer*AmberMult,"AMBER","GREEN"))</f>
        <v/>
      </c>
      <c r="C61" s="32">
        <f>IF(C57&lt;CashBuffer,"RED",IF(C57&lt;CashBuffer*AmberMult,"AMBER","GREEN"))</f>
        <v/>
      </c>
      <c r="D61" s="32">
        <f>IF(D57&lt;CashBuffer,"RED",IF(D57&lt;CashBuffer*AmberMult,"AMBER","GREEN"))</f>
        <v/>
      </c>
      <c r="E61" s="32">
        <f>IF(E57&lt;CashBuffer,"RED",IF(E57&lt;CashBuffer*AmberMult,"AMBER","GREEN"))</f>
        <v/>
      </c>
      <c r="F61" s="32">
        <f>IF(F57&lt;CashBuffer,"RED",IF(F57&lt;CashBuffer*AmberMult,"AMBER","GREEN"))</f>
        <v/>
      </c>
      <c r="G61" s="32">
        <f>IF(G57&lt;CashBuffer,"RED",IF(G57&lt;CashBuffer*AmberMult,"AMBER","GREEN"))</f>
        <v/>
      </c>
      <c r="H61" s="32">
        <f>IF(H57&lt;CashBuffer,"RED",IF(H57&lt;CashBuffer*AmberMult,"AMBER","GREEN"))</f>
        <v/>
      </c>
      <c r="I61" s="32">
        <f>IF(I57&lt;CashBuffer,"RED",IF(I57&lt;CashBuffer*AmberMult,"AMBER","GREEN"))</f>
        <v/>
      </c>
      <c r="J61" s="32">
        <f>IF(J57&lt;CashBuffer,"RED",IF(J57&lt;CashBuffer*AmberMult,"AMBER","GREEN"))</f>
        <v/>
      </c>
      <c r="K61" s="32">
        <f>IF(K57&lt;CashBuffer,"RED",IF(K57&lt;CashBuffer*AmberMult,"AMBER","GREEN"))</f>
        <v/>
      </c>
      <c r="L61" s="32">
        <f>IF(L57&lt;CashBuffer,"RED",IF(L57&lt;CashBuffer*AmberMult,"AMBER","GREEN"))</f>
        <v/>
      </c>
      <c r="M61" s="32">
        <f>IF(M57&lt;CashBuffer,"RED",IF(M57&lt;CashBuffer*AmberMult,"AMBER","GREEN"))</f>
        <v/>
      </c>
      <c r="N61" s="32">
        <f>IF(N57&lt;CashBuffer,"RED",IF(N57&lt;CashBuffer*AmberMult,"AMBER","GREEN"))</f>
        <v/>
      </c>
      <c r="O61" s="32">
        <f>IF(N57&lt;CashBuffer,"RED",IF(N57&lt;CashBuffer*AmberMult,"AMBER","GREEN"))</f>
        <v/>
      </c>
      <c r="P61" s="28" t="inlineStr">
        <is>
          <t>Worked out, not typed. RED means the closing balance is below your buffer that week. AMBER means it is below the amber threshold you set. GREEN means you are clear.</t>
        </is>
      </c>
    </row>
    <row r="62" ht="35.5" customHeight="1">
      <c r="A62" s="26" t="inlineStr">
        <is>
          <t>BELOW THE BUFFER, 1 MEANS YES</t>
        </is>
      </c>
      <c r="B62" s="33">
        <f>IF(B57&lt;CashBuffer,1,0)</f>
        <v/>
      </c>
      <c r="C62" s="33">
        <f>IF(C57&lt;CashBuffer,1,0)</f>
        <v/>
      </c>
      <c r="D62" s="33">
        <f>IF(D57&lt;CashBuffer,1,0)</f>
        <v/>
      </c>
      <c r="E62" s="33">
        <f>IF(E57&lt;CashBuffer,1,0)</f>
        <v/>
      </c>
      <c r="F62" s="33">
        <f>IF(F57&lt;CashBuffer,1,0)</f>
        <v/>
      </c>
      <c r="G62" s="33">
        <f>IF(G57&lt;CashBuffer,1,0)</f>
        <v/>
      </c>
      <c r="H62" s="33">
        <f>IF(H57&lt;CashBuffer,1,0)</f>
        <v/>
      </c>
      <c r="I62" s="33">
        <f>IF(I57&lt;CashBuffer,1,0)</f>
        <v/>
      </c>
      <c r="J62" s="33">
        <f>IF(J57&lt;CashBuffer,1,0)</f>
        <v/>
      </c>
      <c r="K62" s="33">
        <f>IF(K57&lt;CashBuffer,1,0)</f>
        <v/>
      </c>
      <c r="L62" s="33">
        <f>IF(L57&lt;CashBuffer,1,0)</f>
        <v/>
      </c>
      <c r="M62" s="33">
        <f>IF(M57&lt;CashBuffer,1,0)</f>
        <v/>
      </c>
      <c r="N62" s="33">
        <f>IF(N57&lt;CashBuffer,1,0)</f>
        <v/>
      </c>
      <c r="O62" s="33">
        <f>SUM(B62:N62)</f>
        <v/>
      </c>
      <c r="P62" s="28" t="inlineStr">
        <is>
          <t>The sheet uses this row to find the first week you go under. The total is how many of the thirteen weeks fall below the buffer.</t>
        </is>
      </c>
    </row>
    <row r="63"/>
    <row r="64" ht="22" customHeight="1">
      <c r="A64" s="7" t="inlineStr">
        <is>
          <t>WHAT THIS FORECAST SAYS</t>
        </is>
      </c>
      <c r="B64" s="7" t="n"/>
      <c r="C64" s="7" t="n"/>
      <c r="D64" s="7" t="n"/>
      <c r="E64" s="7" t="n"/>
      <c r="F64" s="7" t="n"/>
      <c r="G64" s="7" t="n"/>
      <c r="H64" s="7" t="n"/>
      <c r="I64" s="7" t="n"/>
      <c r="J64" s="7" t="n"/>
      <c r="K64" s="7" t="n"/>
      <c r="L64" s="7" t="n"/>
      <c r="M64" s="7" t="n"/>
      <c r="N64" s="7" t="n"/>
      <c r="O64" s="7" t="n"/>
      <c r="P64" s="7" t="n"/>
    </row>
    <row r="65" ht="34" customHeight="1">
      <c r="A65" s="34">
        <f>IF(Week1="","Type the Monday of week 1, your opening balance and your buffer at the top of this sheet, and this line will tell you where the trouble is.",IF(IFERROR(MATCH(1,B62:N62,0),0)=0,"Good news. Your closing balance holds above your buffer in all thirteen weeks. The lowest you go is "&amp;TEXT(MIN(B57:N57),"""R"" #,##0.00")&amp;" in week "&amp;MATCH(MIN(B57:N57),B57:N57,0)&amp;". Keep rolling it forward every Monday.","Week "&amp;IFERROR(MATCH(1,B62:N62,0),0)&amp;", "&amp;TEXT(INDEX(B17:N17,1,IFERROR(MATCH(1,B62:N62,0),0)),"DD MMMM YYYY")&amp;", is the first week you go below your buffer. You are short "&amp;TEXT(CashBuffer-INDEX(B57:N57,1,IFERROR(MATCH(1,B62:N62,0),0)),"""R"" #,##0.00")&amp;". "&amp;IF(IFERROR(MATCH(1,B62:N62,0),0)=1,"Act this week.","Act now, not in week "&amp;(IFERROR(MATCH(1,B62:N62,0),0)-1)&amp;".")))</f>
        <v/>
      </c>
      <c r="B65" s="35" t="n"/>
      <c r="C65" s="35" t="n"/>
      <c r="D65" s="35" t="n"/>
      <c r="E65" s="35" t="n"/>
      <c r="F65" s="35" t="n"/>
      <c r="G65" s="35" t="n"/>
      <c r="H65" s="35" t="n"/>
      <c r="I65" s="35" t="n"/>
      <c r="J65" s="35" t="n"/>
      <c r="K65" s="35" t="n"/>
      <c r="L65" s="35" t="n"/>
      <c r="M65" s="35" t="n"/>
      <c r="N65" s="35" t="n"/>
      <c r="O65" s="35" t="n"/>
      <c r="P65" s="35" t="n"/>
    </row>
    <row r="66" ht="30" customHeight="1">
      <c r="A66" s="36">
        <f>IF(Week1="","","The lowest point in the quarter is "&amp;TEXT(MIN(B57:N57),"""R"" #,##0.00")&amp;" in week "&amp;MATCH(MIN(B57:N57),B57:N57,0)&amp;", starting "&amp;TEXT(INDEX(B17:N17,1,MATCH(MIN(B57:N57),B57:N57,0)),"DD MMMM YYYY")&amp;". Your average cash out is "&amp;IF(O54=0,"nothing yet",TEXT(O54/13,"""R"" #,##0.00")&amp;" a week")&amp;", and "&amp;SUM(B62:N62)&amp;" of the thirteen weeks fall below your buffer.")</f>
        <v/>
      </c>
      <c r="B66" s="35" t="n"/>
      <c r="C66" s="35" t="n"/>
      <c r="D66" s="35" t="n"/>
      <c r="E66" s="35" t="n"/>
      <c r="F66" s="35" t="n"/>
      <c r="G66" s="35" t="n"/>
      <c r="H66" s="35" t="n"/>
      <c r="I66" s="35" t="n"/>
      <c r="J66" s="35" t="n"/>
      <c r="K66" s="35" t="n"/>
      <c r="L66" s="35" t="n"/>
      <c r="M66" s="35" t="n"/>
      <c r="N66" s="35" t="n"/>
      <c r="O66" s="35" t="n"/>
      <c r="P66" s="35" t="n"/>
    </row>
    <row r="67"/>
    <row r="68" ht="24" customHeight="1">
      <c r="A68" s="6" t="inlineStr">
        <is>
          <t>Note: Roll this forward every Monday. Delete week 1, move everything one column left, and add a new week 13 at the end. Replace forecasts with what actually happened as you go, because a forecast you never correct teaches you nothing.</t>
        </is>
      </c>
    </row>
    <row r="69" ht="24" customHeight="1">
      <c r="A69" s="6" t="inlineStr">
        <is>
          <t>Note: Forecast cash, not profit. Depreciation never appears here because no money moves. VAT does appear here, because it does.</t>
        </is>
      </c>
    </row>
    <row r="70" ht="24" customHeight="1">
      <c r="A70" s="6" t="inlineStr">
        <is>
          <t>Note: If you are registered for VAT, enter your cash figures including VAT, because that is what moves through the bank account, and then show the VAT you pay over to SARS as its own line.</t>
        </is>
      </c>
    </row>
    <row r="71" ht="24" customHeight="1">
      <c r="A71" s="6" t="inlineStr">
        <is>
          <t>Note: this template is a tool, not financial or legal advice for your particular situation. Speak to your accountant before you act on a number that matters.</t>
        </is>
      </c>
    </row>
    <row r="72" ht="24" customHeight="1">
      <c r="A72" s="6" t="inlineStr">
        <is>
          <t>Note: rates, thresholds and fees quoted in this template were correct at 10 August 2026. Check the current figures on sars.gov.za before you rely on them.</t>
        </is>
      </c>
    </row>
  </sheetData>
  <mergeCells count="15">
    <mergeCell ref="D13:P13"/>
    <mergeCell ref="A66:P66"/>
    <mergeCell ref="A1:P1"/>
    <mergeCell ref="D9:P9"/>
    <mergeCell ref="A70:P70"/>
    <mergeCell ref="D11:P11"/>
    <mergeCell ref="D12:P12"/>
    <mergeCell ref="A71:P71"/>
    <mergeCell ref="A69:P69"/>
    <mergeCell ref="A72:P72"/>
    <mergeCell ref="A68:P68"/>
    <mergeCell ref="A7:P7"/>
    <mergeCell ref="A65:P65"/>
    <mergeCell ref="D10:P10"/>
    <mergeCell ref="A2:P2"/>
  </mergeCells>
  <conditionalFormatting sqref="B57:O57">
    <cfRule type="expression" priority="1" dxfId="0" stopIfTrue="1">
      <formula>B57&lt;CashBuffer</formula>
    </cfRule>
    <cfRule type="expression" priority="2" dxfId="1" stopIfTrue="1">
      <formula>B57&lt;CashBuffer*AmberMult</formula>
    </cfRule>
    <cfRule type="expression" priority="3" dxfId="2" stopIfTrue="0">
      <formula>B57&gt;=CashBuffer*AmberMult</formula>
    </cfRule>
  </conditionalFormatting>
  <conditionalFormatting sqref="B59:O59">
    <cfRule type="expression" priority="4" dxfId="0" stopIfTrue="1">
      <formula>B59&lt;0</formula>
    </cfRule>
    <cfRule type="expression" priority="5" dxfId="2" stopIfTrue="0">
      <formula>B59&gt;=0</formula>
    </cfRule>
  </conditionalFormatting>
  <conditionalFormatting sqref="B61:O61">
    <cfRule type="expression" priority="6" dxfId="0" stopIfTrue="1">
      <formula>B61="RED"</formula>
    </cfRule>
    <cfRule type="expression" priority="7" dxfId="1" stopIfTrue="1">
      <formula>B61="AMBER"</formula>
    </cfRule>
    <cfRule type="expression" priority="8" dxfId="2" stopIfTrue="0">
      <formula>B61="GREEN"</formula>
    </cfRule>
  </conditionalFormatting>
  <conditionalFormatting sqref="B60:N60">
    <cfRule type="expression" priority="9" dxfId="0" stopIfTrue="1">
      <formula>AND(ISNUMBER(B60),B60&lt;2)</formula>
    </cfRule>
    <cfRule type="expression" priority="10" dxfId="1" stopIfTrue="1">
      <formula>AND(ISNUMBER(B60),B60&lt;4)</formula>
    </cfRule>
    <cfRule type="expression" priority="11" dxfId="2" stopIfTrue="0">
      <formula>ISNUMBER(B60)</formula>
    </cfRule>
  </conditionalFormatting>
  <conditionalFormatting sqref="B62:N62">
    <cfRule type="expression" priority="12" dxfId="0" stopIfTrue="1">
      <formula>B62=1</formula>
    </cfRule>
    <cfRule type="expression" priority="13" dxfId="2" stopIfTrue="0">
      <formula>B62=0</formula>
    </cfRule>
  </conditionalFormatting>
  <conditionalFormatting sqref="B18:N18">
    <cfRule type="expression" priority="14" dxfId="2" stopIfTrue="0">
      <formula>B18="Actual"</formula>
    </cfRule>
  </conditionalFormatting>
  <dataValidations count="1">
    <dataValidation sqref="B18:N18" showDropDown="0" showInputMessage="0" showErrorMessage="0" allowBlank="1" type="list">
      <formula1>"Forecast,Actual"</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N99"/>
  <sheetViews>
    <sheetView showGridLines="0" workbookViewId="0">
      <pane ySplit="24" topLeftCell="A25" activePane="bottomLeft" state="frozen"/>
      <selection pane="bottomLeft" activeCell="A1" sqref="A1"/>
    </sheetView>
  </sheetViews>
  <sheetFormatPr baseColWidth="8" defaultRowHeight="15"/>
  <cols>
    <col width="30" customWidth="1" min="1" max="1"/>
    <col width="15" customWidth="1" min="2" max="2"/>
    <col width="13" customWidth="1" min="3" max="3"/>
    <col width="10" customWidth="1" min="4" max="4"/>
    <col width="13" customWidth="1" min="5" max="5"/>
    <col width="16" customWidth="1" min="6" max="6"/>
    <col width="12" customWidth="1" min="7" max="7"/>
    <col width="16" customWidth="1" min="8" max="8"/>
    <col width="12" customWidth="1" min="9" max="9"/>
    <col width="11" customWidth="1" min="10" max="10"/>
    <col width="16" customWidth="1" min="11" max="11"/>
    <col width="19" customWidth="1" min="12" max="12"/>
    <col width="17" customWidth="1" min="13" max="13"/>
    <col width="30" customWidth="1" min="14" max="14"/>
  </cols>
  <sheetData>
    <row r="1" ht="26" customHeight="1">
      <c r="A1" s="1" t="inlineStr">
        <is>
          <t>MONEY COMING IN</t>
        </is>
      </c>
    </row>
    <row r="2" ht="14" customHeight="1">
      <c r="A2" s="2" t="inlineStr">
        <is>
          <t>One row per invoice. The sheet works out which of the thirteen weeks the money lands in, so you are not guessing twice.</t>
        </is>
      </c>
    </row>
    <row r="3" ht="4" customHeight="1"/>
    <row r="4" ht="15" customHeight="1">
      <c r="A4" s="3" t="inlineStr">
        <is>
          <t>[YOUR COMPANY NAME]</t>
        </is>
      </c>
      <c r="N4" s="4" t="inlineStr">
        <is>
          <t>[ Insert your logo in the space above ]</t>
        </is>
      </c>
    </row>
    <row r="5" ht="15" customHeight="1">
      <c r="A5" s="5" t="inlineStr">
        <is>
          <t>Reg No: [XXXX/XXXXXX/XX]</t>
        </is>
      </c>
      <c r="N5" s="4" t="inlineStr">
        <is>
          <t>VAT No: [4XXXXXXXXX] (if VAT registered)</t>
        </is>
      </c>
    </row>
    <row r="6" ht="15" customHeight="1">
      <c r="A6" s="5" t="inlineStr">
        <is>
          <t>[email@yourbusiness.co.za]</t>
        </is>
      </c>
      <c r="N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HOW SURE ARE YOU, AND WHAT COUNTS AS A RISK</t>
        </is>
      </c>
      <c r="B8" s="7" t="n"/>
      <c r="C8" s="7" t="n"/>
      <c r="D8" s="7" t="n"/>
      <c r="E8" s="7" t="n"/>
      <c r="F8" s="7" t="n"/>
      <c r="G8" s="7" t="n"/>
      <c r="H8" s="7" t="n"/>
      <c r="I8" s="7" t="n"/>
      <c r="J8" s="7" t="n"/>
      <c r="K8" s="7" t="n"/>
      <c r="L8" s="7" t="n"/>
      <c r="M8" s="7" t="n"/>
      <c r="N8" s="7" t="n"/>
    </row>
    <row r="9">
      <c r="A9" s="37" t="inlineStr">
        <is>
          <t>Certain</t>
        </is>
      </c>
      <c r="B9" s="38" t="n">
        <v>1</v>
      </c>
      <c r="C9" s="6" t="inlineStr">
        <is>
          <t>Already paid, or a customer who has never once been late.</t>
        </is>
      </c>
    </row>
    <row r="10">
      <c r="A10" s="37" t="inlineStr">
        <is>
          <t>Likely</t>
        </is>
      </c>
      <c r="B10" s="38" t="n">
        <v>0.9</v>
      </c>
      <c r="C10" s="6" t="inlineStr">
        <is>
          <t>A regular who pays, give or take a week.</t>
        </is>
      </c>
    </row>
    <row r="11">
      <c r="A11" s="37" t="inlineStr">
        <is>
          <t>Possible</t>
        </is>
      </c>
      <c r="B11" s="38" t="n">
        <v>0.6</v>
      </c>
      <c r="C11" s="6" t="inlineStr">
        <is>
          <t>You expect it, but you would not bank on the date.</t>
        </is>
      </c>
    </row>
    <row r="12">
      <c r="A12" s="37" t="inlineStr">
        <is>
          <t>Doubtful</t>
        </is>
      </c>
      <c r="B12" s="38" t="n">
        <v>0.25</v>
      </c>
      <c r="C12" s="6" t="inlineStr">
        <is>
          <t>Disputed, very old, or a customer who has gone quiet. Forecast a quarter of it and be pleasantly surprised.</t>
        </is>
      </c>
    </row>
    <row r="13">
      <c r="A13" s="37" t="inlineStr">
        <is>
          <t>Concentration warning above</t>
        </is>
      </c>
      <c r="B13" s="38" t="n">
        <v>0.3</v>
      </c>
      <c r="C13" s="6" t="inlineStr">
        <is>
          <t>If one customer is more than this share of everything you expect to collect, the sheet says so. Thirty percent is the usual line.</t>
        </is>
      </c>
    </row>
    <row r="14"/>
    <row r="15" ht="22" customHeight="1">
      <c r="A15" s="7" t="inlineStr">
        <is>
          <t>WHAT THIS SHEET SAYS</t>
        </is>
      </c>
      <c r="B15" s="7" t="n"/>
      <c r="C15" s="7" t="n"/>
      <c r="D15" s="7" t="n"/>
      <c r="E15" s="7" t="n"/>
      <c r="F15" s="7" t="n"/>
      <c r="G15" s="7" t="n"/>
      <c r="H15" s="7" t="n"/>
      <c r="I15" s="7" t="n"/>
      <c r="J15" s="7" t="n"/>
      <c r="K15" s="7" t="n"/>
      <c r="L15" s="7" t="n"/>
      <c r="M15" s="7" t="n"/>
      <c r="N15" s="7" t="n"/>
    </row>
    <row r="16">
      <c r="A16" s="37" t="inlineStr">
        <is>
          <t>Expected inside the 13 weeks</t>
        </is>
      </c>
      <c r="B16" s="12">
        <f>SUM(InAmt)-B17</f>
        <v/>
      </c>
      <c r="C16" s="6" t="inlineStr">
        <is>
          <t>This is the figure that reaches the forecast.</t>
        </is>
      </c>
    </row>
    <row r="17">
      <c r="A17" s="37" t="inlineStr">
        <is>
          <t>Expected outside that window</t>
        </is>
      </c>
      <c r="B17" s="12">
        <f>SUMIF(InWk,"Outside the 13 weeks",InAmt)</f>
        <v/>
      </c>
      <c r="C17" s="6" t="inlineStr">
        <is>
          <t>Money you are still owed, but not in this window. It is excluded on purpose, not lost.</t>
        </is>
      </c>
    </row>
    <row r="18">
      <c r="A18" s="37" t="inlineStr">
        <is>
          <t>Your largest single customer</t>
        </is>
      </c>
      <c r="B18" s="39">
        <f>IF(SUM(InAmt)=0,"",INDEX(InCust,MATCH(MAX(InCustTot),InCustTot,0)))</f>
        <v/>
      </c>
      <c r="C18" s="35" t="n"/>
      <c r="D18" s="6" t="inlineStr">
        <is>
          <t>By value expected, across every invoice you have listed.</t>
        </is>
      </c>
    </row>
    <row r="19">
      <c r="A19" s="37" t="inlineStr">
        <is>
          <t>That customer's share</t>
        </is>
      </c>
      <c r="B19" s="40">
        <f>IF(SUM(InAmt)=0,"",MAX(InCustTot)/SUM(InAmt))</f>
        <v/>
      </c>
      <c r="C19" s="6" t="inlineStr">
        <is>
          <t>Concentration risk. One customer leaving should not be able to close you.</t>
        </is>
      </c>
    </row>
    <row r="20" ht="32" customHeight="1">
      <c r="A20" s="41">
        <f>IF(SUM(InAmt)=0,"List your invoices below and this line will tell you how exposed you are to one customer.",IF(MAX(InCustTot)/SUM(InAmt)&gt;ConcThreshold,"Warning: "&amp;INDEX(InCust,MATCH(MAX(InCustTot),InCustTot,0))&amp;" is "&amp;TEXT(MAX(InCustTot)/SUM(InAmt),"0.0%")&amp;" of everything you expect to collect, which is above your "&amp;TEXT(ConcThreshold,"0.0%")&amp;" line. If they pay late, you have a cash problem, not an admin problem. Run the second scenario on the Scenarios sheet and look at the week it breaks.","No single customer is more than "&amp;TEXT(ConcThreshold,"0.0%")&amp;" of what you expect to collect. Your risk is spread."))</f>
        <v/>
      </c>
      <c r="B20" s="35" t="n"/>
      <c r="C20" s="35" t="n"/>
      <c r="D20" s="35" t="n"/>
      <c r="E20" s="35" t="n"/>
      <c r="F20" s="35" t="n"/>
      <c r="G20" s="35" t="n"/>
      <c r="H20" s="35" t="n"/>
      <c r="I20" s="35" t="n"/>
      <c r="J20" s="35" t="n"/>
      <c r="K20" s="35" t="n"/>
      <c r="L20" s="35" t="n"/>
      <c r="M20" s="35" t="n"/>
      <c r="N20" s="35" t="n"/>
    </row>
    <row r="21">
      <c r="A21" s="37" t="inlineStr">
        <is>
          <t>Sitting in Doubtful</t>
        </is>
      </c>
      <c r="B21" s="12">
        <f>SUMIF(InConf,"Doubtful",InGross)</f>
        <v/>
      </c>
      <c r="C21" s="6" t="inlineStr">
        <is>
          <t>The full invoice value you have marked Doubtful. Chase these first: it is the cheapest cash in the business.</t>
        </is>
      </c>
    </row>
    <row r="22"/>
    <row r="23" ht="22" customHeight="1">
      <c r="A23" s="7" t="inlineStr">
        <is>
          <t>INVOICES AND EXPECTED RECEIPTS</t>
        </is>
      </c>
      <c r="B23" s="7" t="n"/>
      <c r="C23" s="7" t="n"/>
      <c r="D23" s="7" t="n"/>
      <c r="E23" s="7" t="n"/>
      <c r="F23" s="7" t="n"/>
      <c r="G23" s="7" t="n"/>
      <c r="H23" s="7" t="n"/>
      <c r="I23" s="7" t="n"/>
      <c r="J23" s="7" t="n"/>
      <c r="K23" s="7" t="n"/>
      <c r="L23" s="7" t="n"/>
      <c r="M23" s="7" t="n"/>
      <c r="N23" s="7" t="n"/>
    </row>
    <row r="24" ht="34" customHeight="1">
      <c r="A24" s="13" t="inlineStr">
        <is>
          <t>CUSTOMER</t>
        </is>
      </c>
      <c r="B24" s="13" t="inlineStr">
        <is>
          <t>INVOICE NUMBER</t>
        </is>
      </c>
      <c r="C24" s="13" t="inlineStr">
        <is>
          <t>INVOICE DATE</t>
        </is>
      </c>
      <c r="D24" s="13" t="inlineStr">
        <is>
          <t>TERMS (DAYS)</t>
        </is>
      </c>
      <c r="E24" s="13" t="inlineStr">
        <is>
          <t>DUE DATE</t>
        </is>
      </c>
      <c r="F24" s="13" t="inlineStr">
        <is>
          <t>AMOUNT INCLUDING VAT</t>
        </is>
      </c>
      <c r="G24" s="13" t="inlineStr">
        <is>
          <t>DAYS THEY USUALLY PAY LATE</t>
        </is>
      </c>
      <c r="H24" s="13" t="inlineStr">
        <is>
          <t>EXPECTED RECEIPT DATE</t>
        </is>
      </c>
      <c r="I24" s="13" t="inlineStr">
        <is>
          <t>HOW SURE ARE YOU</t>
        </is>
      </c>
      <c r="J24" s="13" t="inlineStr">
        <is>
          <t>RATE</t>
        </is>
      </c>
      <c r="K24" s="13" t="inlineStr">
        <is>
          <t>EXPECTED AMOUNT</t>
        </is>
      </c>
      <c r="L24" s="13" t="inlineStr">
        <is>
          <t>WEEK NUMBER</t>
        </is>
      </c>
      <c r="M24" s="13" t="inlineStr">
        <is>
          <t>TOTAL EXPECTED FROM THIS CUSTOMER</t>
        </is>
      </c>
      <c r="N24" s="13" t="inlineStr">
        <is>
          <t>NOTES</t>
        </is>
      </c>
    </row>
    <row r="25">
      <c r="A25" s="42" t="n"/>
      <c r="B25" s="42" t="n"/>
      <c r="C25" s="43" t="n"/>
      <c r="D25" s="44" t="n"/>
      <c r="E25" s="16">
        <f>IF(C25="","",C25+D25)</f>
        <v/>
      </c>
      <c r="F25" s="22" t="n"/>
      <c r="G25" s="44" t="n"/>
      <c r="H25" s="16">
        <f>IF(E25="","",E25+G25)</f>
        <v/>
      </c>
      <c r="I25" s="17" t="n"/>
      <c r="J25" s="45">
        <f>IF(I25="","",IF(I25="Certain",RateCertain,IF(I25="Likely",RateLikely,IF(I25="Possible",RatePossible,IF(I25="Doubtful",RateDoubtful,"")))))</f>
        <v/>
      </c>
      <c r="K25" s="18">
        <f>IF(J25="","",IF(F25="","",F25*J25))</f>
        <v/>
      </c>
      <c r="L25" s="46">
        <f>IF(H25="","",IF(AND(INT((H25-Week1)/7)+1&gt;=1,INT((H25-Week1)/7)+1&lt;=13),INT((H25-Week1)/7)+1,"Outside the 13 weeks"))</f>
        <v/>
      </c>
      <c r="M25" s="18">
        <f>IF(A25="","",SUMIF(InCust,A25,InAmt))</f>
        <v/>
      </c>
      <c r="N25" s="42" t="n"/>
    </row>
    <row r="26">
      <c r="A26" s="42" t="n"/>
      <c r="B26" s="42" t="n"/>
      <c r="C26" s="43" t="n"/>
      <c r="D26" s="44" t="n"/>
      <c r="E26" s="16">
        <f>IF(C26="","",C26+D26)</f>
        <v/>
      </c>
      <c r="F26" s="22" t="n"/>
      <c r="G26" s="44" t="n"/>
      <c r="H26" s="16">
        <f>IF(E26="","",E26+G26)</f>
        <v/>
      </c>
      <c r="I26" s="17" t="n"/>
      <c r="J26" s="45">
        <f>IF(I26="","",IF(I26="Certain",RateCertain,IF(I26="Likely",RateLikely,IF(I26="Possible",RatePossible,IF(I26="Doubtful",RateDoubtful,"")))))</f>
        <v/>
      </c>
      <c r="K26" s="18">
        <f>IF(J26="","",IF(F26="","",F26*J26))</f>
        <v/>
      </c>
      <c r="L26" s="46">
        <f>IF(H26="","",IF(AND(INT((H26-Week1)/7)+1&gt;=1,INT((H26-Week1)/7)+1&lt;=13),INT((H26-Week1)/7)+1,"Outside the 13 weeks"))</f>
        <v/>
      </c>
      <c r="M26" s="18">
        <f>IF(A26="","",SUMIF(InCust,A26,InAmt))</f>
        <v/>
      </c>
      <c r="N26" s="42" t="n"/>
    </row>
    <row r="27">
      <c r="A27" s="42" t="n"/>
      <c r="B27" s="42" t="n"/>
      <c r="C27" s="43" t="n"/>
      <c r="D27" s="44" t="n"/>
      <c r="E27" s="16">
        <f>IF(C27="","",C27+D27)</f>
        <v/>
      </c>
      <c r="F27" s="22" t="n"/>
      <c r="G27" s="44" t="n"/>
      <c r="H27" s="16">
        <f>IF(E27="","",E27+G27)</f>
        <v/>
      </c>
      <c r="I27" s="17" t="n"/>
      <c r="J27" s="45">
        <f>IF(I27="","",IF(I27="Certain",RateCertain,IF(I27="Likely",RateLikely,IF(I27="Possible",RatePossible,IF(I27="Doubtful",RateDoubtful,"")))))</f>
        <v/>
      </c>
      <c r="K27" s="18">
        <f>IF(J27="","",IF(F27="","",F27*J27))</f>
        <v/>
      </c>
      <c r="L27" s="46">
        <f>IF(H27="","",IF(AND(INT((H27-Week1)/7)+1&gt;=1,INT((H27-Week1)/7)+1&lt;=13),INT((H27-Week1)/7)+1,"Outside the 13 weeks"))</f>
        <v/>
      </c>
      <c r="M27" s="18">
        <f>IF(A27="","",SUMIF(InCust,A27,InAmt))</f>
        <v/>
      </c>
      <c r="N27" s="42" t="n"/>
    </row>
    <row r="28">
      <c r="A28" s="42" t="n"/>
      <c r="B28" s="42" t="n"/>
      <c r="C28" s="43" t="n"/>
      <c r="D28" s="44" t="n"/>
      <c r="E28" s="16">
        <f>IF(C28="","",C28+D28)</f>
        <v/>
      </c>
      <c r="F28" s="22" t="n"/>
      <c r="G28" s="44" t="n"/>
      <c r="H28" s="16">
        <f>IF(E28="","",E28+G28)</f>
        <v/>
      </c>
      <c r="I28" s="17" t="n"/>
      <c r="J28" s="45">
        <f>IF(I28="","",IF(I28="Certain",RateCertain,IF(I28="Likely",RateLikely,IF(I28="Possible",RatePossible,IF(I28="Doubtful",RateDoubtful,"")))))</f>
        <v/>
      </c>
      <c r="K28" s="18">
        <f>IF(J28="","",IF(F28="","",F28*J28))</f>
        <v/>
      </c>
      <c r="L28" s="46">
        <f>IF(H28="","",IF(AND(INT((H28-Week1)/7)+1&gt;=1,INT((H28-Week1)/7)+1&lt;=13),INT((H28-Week1)/7)+1,"Outside the 13 weeks"))</f>
        <v/>
      </c>
      <c r="M28" s="18">
        <f>IF(A28="","",SUMIF(InCust,A28,InAmt))</f>
        <v/>
      </c>
      <c r="N28" s="42" t="n"/>
    </row>
    <row r="29">
      <c r="A29" s="42" t="n"/>
      <c r="B29" s="42" t="n"/>
      <c r="C29" s="43" t="n"/>
      <c r="D29" s="44" t="n"/>
      <c r="E29" s="16">
        <f>IF(C29="","",C29+D29)</f>
        <v/>
      </c>
      <c r="F29" s="22" t="n"/>
      <c r="G29" s="44" t="n"/>
      <c r="H29" s="16">
        <f>IF(E29="","",E29+G29)</f>
        <v/>
      </c>
      <c r="I29" s="17" t="n"/>
      <c r="J29" s="45">
        <f>IF(I29="","",IF(I29="Certain",RateCertain,IF(I29="Likely",RateLikely,IF(I29="Possible",RatePossible,IF(I29="Doubtful",RateDoubtful,"")))))</f>
        <v/>
      </c>
      <c r="K29" s="18">
        <f>IF(J29="","",IF(F29="","",F29*J29))</f>
        <v/>
      </c>
      <c r="L29" s="46">
        <f>IF(H29="","",IF(AND(INT((H29-Week1)/7)+1&gt;=1,INT((H29-Week1)/7)+1&lt;=13),INT((H29-Week1)/7)+1,"Outside the 13 weeks"))</f>
        <v/>
      </c>
      <c r="M29" s="18">
        <f>IF(A29="","",SUMIF(InCust,A29,InAmt))</f>
        <v/>
      </c>
      <c r="N29" s="42" t="n"/>
    </row>
    <row r="30">
      <c r="A30" s="42" t="n"/>
      <c r="B30" s="42" t="n"/>
      <c r="C30" s="43" t="n"/>
      <c r="D30" s="44" t="n"/>
      <c r="E30" s="16">
        <f>IF(C30="","",C30+D30)</f>
        <v/>
      </c>
      <c r="F30" s="22" t="n"/>
      <c r="G30" s="44" t="n"/>
      <c r="H30" s="16">
        <f>IF(E30="","",E30+G30)</f>
        <v/>
      </c>
      <c r="I30" s="17" t="n"/>
      <c r="J30" s="45">
        <f>IF(I30="","",IF(I30="Certain",RateCertain,IF(I30="Likely",RateLikely,IF(I30="Possible",RatePossible,IF(I30="Doubtful",RateDoubtful,"")))))</f>
        <v/>
      </c>
      <c r="K30" s="18">
        <f>IF(J30="","",IF(F30="","",F30*J30))</f>
        <v/>
      </c>
      <c r="L30" s="46">
        <f>IF(H30="","",IF(AND(INT((H30-Week1)/7)+1&gt;=1,INT((H30-Week1)/7)+1&lt;=13),INT((H30-Week1)/7)+1,"Outside the 13 weeks"))</f>
        <v/>
      </c>
      <c r="M30" s="18">
        <f>IF(A30="","",SUMIF(InCust,A30,InAmt))</f>
        <v/>
      </c>
      <c r="N30" s="42" t="n"/>
    </row>
    <row r="31">
      <c r="A31" s="42" t="n"/>
      <c r="B31" s="42" t="n"/>
      <c r="C31" s="43" t="n"/>
      <c r="D31" s="44" t="n"/>
      <c r="E31" s="16">
        <f>IF(C31="","",C31+D31)</f>
        <v/>
      </c>
      <c r="F31" s="22" t="n"/>
      <c r="G31" s="44" t="n"/>
      <c r="H31" s="16">
        <f>IF(E31="","",E31+G31)</f>
        <v/>
      </c>
      <c r="I31" s="17" t="n"/>
      <c r="J31" s="45">
        <f>IF(I31="","",IF(I31="Certain",RateCertain,IF(I31="Likely",RateLikely,IF(I31="Possible",RatePossible,IF(I31="Doubtful",RateDoubtful,"")))))</f>
        <v/>
      </c>
      <c r="K31" s="18">
        <f>IF(J31="","",IF(F31="","",F31*J31))</f>
        <v/>
      </c>
      <c r="L31" s="46">
        <f>IF(H31="","",IF(AND(INT((H31-Week1)/7)+1&gt;=1,INT((H31-Week1)/7)+1&lt;=13),INT((H31-Week1)/7)+1,"Outside the 13 weeks"))</f>
        <v/>
      </c>
      <c r="M31" s="18">
        <f>IF(A31="","",SUMIF(InCust,A31,InAmt))</f>
        <v/>
      </c>
      <c r="N31" s="42" t="n"/>
    </row>
    <row r="32">
      <c r="A32" s="42" t="n"/>
      <c r="B32" s="42" t="n"/>
      <c r="C32" s="43" t="n"/>
      <c r="D32" s="44" t="n"/>
      <c r="E32" s="16">
        <f>IF(C32="","",C32+D32)</f>
        <v/>
      </c>
      <c r="F32" s="22" t="n"/>
      <c r="G32" s="44" t="n"/>
      <c r="H32" s="16">
        <f>IF(E32="","",E32+G32)</f>
        <v/>
      </c>
      <c r="I32" s="17" t="n"/>
      <c r="J32" s="45">
        <f>IF(I32="","",IF(I32="Certain",RateCertain,IF(I32="Likely",RateLikely,IF(I32="Possible",RatePossible,IF(I32="Doubtful",RateDoubtful,"")))))</f>
        <v/>
      </c>
      <c r="K32" s="18">
        <f>IF(J32="","",IF(F32="","",F32*J32))</f>
        <v/>
      </c>
      <c r="L32" s="46">
        <f>IF(H32="","",IF(AND(INT((H32-Week1)/7)+1&gt;=1,INT((H32-Week1)/7)+1&lt;=13),INT((H32-Week1)/7)+1,"Outside the 13 weeks"))</f>
        <v/>
      </c>
      <c r="M32" s="18">
        <f>IF(A32="","",SUMIF(InCust,A32,InAmt))</f>
        <v/>
      </c>
      <c r="N32" s="42" t="n"/>
    </row>
    <row r="33">
      <c r="A33" s="42" t="n"/>
      <c r="B33" s="42" t="n"/>
      <c r="C33" s="43" t="n"/>
      <c r="D33" s="44" t="n"/>
      <c r="E33" s="16">
        <f>IF(C33="","",C33+D33)</f>
        <v/>
      </c>
      <c r="F33" s="22" t="n"/>
      <c r="G33" s="44" t="n"/>
      <c r="H33" s="16">
        <f>IF(E33="","",E33+G33)</f>
        <v/>
      </c>
      <c r="I33" s="17" t="n"/>
      <c r="J33" s="45">
        <f>IF(I33="","",IF(I33="Certain",RateCertain,IF(I33="Likely",RateLikely,IF(I33="Possible",RatePossible,IF(I33="Doubtful",RateDoubtful,"")))))</f>
        <v/>
      </c>
      <c r="K33" s="18">
        <f>IF(J33="","",IF(F33="","",F33*J33))</f>
        <v/>
      </c>
      <c r="L33" s="46">
        <f>IF(H33="","",IF(AND(INT((H33-Week1)/7)+1&gt;=1,INT((H33-Week1)/7)+1&lt;=13),INT((H33-Week1)/7)+1,"Outside the 13 weeks"))</f>
        <v/>
      </c>
      <c r="M33" s="18">
        <f>IF(A33="","",SUMIF(InCust,A33,InAmt))</f>
        <v/>
      </c>
      <c r="N33" s="42" t="n"/>
    </row>
    <row r="34">
      <c r="A34" s="42" t="n"/>
      <c r="B34" s="42" t="n"/>
      <c r="C34" s="43" t="n"/>
      <c r="D34" s="44" t="n"/>
      <c r="E34" s="16">
        <f>IF(C34="","",C34+D34)</f>
        <v/>
      </c>
      <c r="F34" s="22" t="n"/>
      <c r="G34" s="44" t="n"/>
      <c r="H34" s="16">
        <f>IF(E34="","",E34+G34)</f>
        <v/>
      </c>
      <c r="I34" s="17" t="n"/>
      <c r="J34" s="45">
        <f>IF(I34="","",IF(I34="Certain",RateCertain,IF(I34="Likely",RateLikely,IF(I34="Possible",RatePossible,IF(I34="Doubtful",RateDoubtful,"")))))</f>
        <v/>
      </c>
      <c r="K34" s="18">
        <f>IF(J34="","",IF(F34="","",F34*J34))</f>
        <v/>
      </c>
      <c r="L34" s="46">
        <f>IF(H34="","",IF(AND(INT((H34-Week1)/7)+1&gt;=1,INT((H34-Week1)/7)+1&lt;=13),INT((H34-Week1)/7)+1,"Outside the 13 weeks"))</f>
        <v/>
      </c>
      <c r="M34" s="18">
        <f>IF(A34="","",SUMIF(InCust,A34,InAmt))</f>
        <v/>
      </c>
      <c r="N34" s="42" t="n"/>
    </row>
    <row r="35">
      <c r="A35" s="42" t="n"/>
      <c r="B35" s="42" t="n"/>
      <c r="C35" s="43" t="n"/>
      <c r="D35" s="44" t="n"/>
      <c r="E35" s="16">
        <f>IF(C35="","",C35+D35)</f>
        <v/>
      </c>
      <c r="F35" s="22" t="n"/>
      <c r="G35" s="44" t="n"/>
      <c r="H35" s="16">
        <f>IF(E35="","",E35+G35)</f>
        <v/>
      </c>
      <c r="I35" s="17" t="n"/>
      <c r="J35" s="45">
        <f>IF(I35="","",IF(I35="Certain",RateCertain,IF(I35="Likely",RateLikely,IF(I35="Possible",RatePossible,IF(I35="Doubtful",RateDoubtful,"")))))</f>
        <v/>
      </c>
      <c r="K35" s="18">
        <f>IF(J35="","",IF(F35="","",F35*J35))</f>
        <v/>
      </c>
      <c r="L35" s="46">
        <f>IF(H35="","",IF(AND(INT((H35-Week1)/7)+1&gt;=1,INT((H35-Week1)/7)+1&lt;=13),INT((H35-Week1)/7)+1,"Outside the 13 weeks"))</f>
        <v/>
      </c>
      <c r="M35" s="18">
        <f>IF(A35="","",SUMIF(InCust,A35,InAmt))</f>
        <v/>
      </c>
      <c r="N35" s="42" t="n"/>
    </row>
    <row r="36">
      <c r="A36" s="42" t="n"/>
      <c r="B36" s="42" t="n"/>
      <c r="C36" s="43" t="n"/>
      <c r="D36" s="44" t="n"/>
      <c r="E36" s="16">
        <f>IF(C36="","",C36+D36)</f>
        <v/>
      </c>
      <c r="F36" s="22" t="n"/>
      <c r="G36" s="44" t="n"/>
      <c r="H36" s="16">
        <f>IF(E36="","",E36+G36)</f>
        <v/>
      </c>
      <c r="I36" s="17" t="n"/>
      <c r="J36" s="45">
        <f>IF(I36="","",IF(I36="Certain",RateCertain,IF(I36="Likely",RateLikely,IF(I36="Possible",RatePossible,IF(I36="Doubtful",RateDoubtful,"")))))</f>
        <v/>
      </c>
      <c r="K36" s="18">
        <f>IF(J36="","",IF(F36="","",F36*J36))</f>
        <v/>
      </c>
      <c r="L36" s="46">
        <f>IF(H36="","",IF(AND(INT((H36-Week1)/7)+1&gt;=1,INT((H36-Week1)/7)+1&lt;=13),INT((H36-Week1)/7)+1,"Outside the 13 weeks"))</f>
        <v/>
      </c>
      <c r="M36" s="18">
        <f>IF(A36="","",SUMIF(InCust,A36,InAmt))</f>
        <v/>
      </c>
      <c r="N36" s="42" t="n"/>
    </row>
    <row r="37">
      <c r="A37" s="42" t="n"/>
      <c r="B37" s="42" t="n"/>
      <c r="C37" s="43" t="n"/>
      <c r="D37" s="44" t="n"/>
      <c r="E37" s="16">
        <f>IF(C37="","",C37+D37)</f>
        <v/>
      </c>
      <c r="F37" s="22" t="n"/>
      <c r="G37" s="44" t="n"/>
      <c r="H37" s="16">
        <f>IF(E37="","",E37+G37)</f>
        <v/>
      </c>
      <c r="I37" s="17" t="n"/>
      <c r="J37" s="45">
        <f>IF(I37="","",IF(I37="Certain",RateCertain,IF(I37="Likely",RateLikely,IF(I37="Possible",RatePossible,IF(I37="Doubtful",RateDoubtful,"")))))</f>
        <v/>
      </c>
      <c r="K37" s="18">
        <f>IF(J37="","",IF(F37="","",F37*J37))</f>
        <v/>
      </c>
      <c r="L37" s="46">
        <f>IF(H37="","",IF(AND(INT((H37-Week1)/7)+1&gt;=1,INT((H37-Week1)/7)+1&lt;=13),INT((H37-Week1)/7)+1,"Outside the 13 weeks"))</f>
        <v/>
      </c>
      <c r="M37" s="18">
        <f>IF(A37="","",SUMIF(InCust,A37,InAmt))</f>
        <v/>
      </c>
      <c r="N37" s="42" t="n"/>
    </row>
    <row r="38">
      <c r="A38" s="42" t="n"/>
      <c r="B38" s="42" t="n"/>
      <c r="C38" s="43" t="n"/>
      <c r="D38" s="44" t="n"/>
      <c r="E38" s="16">
        <f>IF(C38="","",C38+D38)</f>
        <v/>
      </c>
      <c r="F38" s="22" t="n"/>
      <c r="G38" s="44" t="n"/>
      <c r="H38" s="16">
        <f>IF(E38="","",E38+G38)</f>
        <v/>
      </c>
      <c r="I38" s="17" t="n"/>
      <c r="J38" s="45">
        <f>IF(I38="","",IF(I38="Certain",RateCertain,IF(I38="Likely",RateLikely,IF(I38="Possible",RatePossible,IF(I38="Doubtful",RateDoubtful,"")))))</f>
        <v/>
      </c>
      <c r="K38" s="18">
        <f>IF(J38="","",IF(F38="","",F38*J38))</f>
        <v/>
      </c>
      <c r="L38" s="46">
        <f>IF(H38="","",IF(AND(INT((H38-Week1)/7)+1&gt;=1,INT((H38-Week1)/7)+1&lt;=13),INT((H38-Week1)/7)+1,"Outside the 13 weeks"))</f>
        <v/>
      </c>
      <c r="M38" s="18">
        <f>IF(A38="","",SUMIF(InCust,A38,InAmt))</f>
        <v/>
      </c>
      <c r="N38" s="42" t="n"/>
    </row>
    <row r="39">
      <c r="A39" s="42" t="n"/>
      <c r="B39" s="42" t="n"/>
      <c r="C39" s="43" t="n"/>
      <c r="D39" s="44" t="n"/>
      <c r="E39" s="16">
        <f>IF(C39="","",C39+D39)</f>
        <v/>
      </c>
      <c r="F39" s="22" t="n"/>
      <c r="G39" s="44" t="n"/>
      <c r="H39" s="16">
        <f>IF(E39="","",E39+G39)</f>
        <v/>
      </c>
      <c r="I39" s="17" t="n"/>
      <c r="J39" s="45">
        <f>IF(I39="","",IF(I39="Certain",RateCertain,IF(I39="Likely",RateLikely,IF(I39="Possible",RatePossible,IF(I39="Doubtful",RateDoubtful,"")))))</f>
        <v/>
      </c>
      <c r="K39" s="18">
        <f>IF(J39="","",IF(F39="","",F39*J39))</f>
        <v/>
      </c>
      <c r="L39" s="46">
        <f>IF(H39="","",IF(AND(INT((H39-Week1)/7)+1&gt;=1,INT((H39-Week1)/7)+1&lt;=13),INT((H39-Week1)/7)+1,"Outside the 13 weeks"))</f>
        <v/>
      </c>
      <c r="M39" s="18">
        <f>IF(A39="","",SUMIF(InCust,A39,InAmt))</f>
        <v/>
      </c>
      <c r="N39" s="42" t="n"/>
    </row>
    <row r="40">
      <c r="A40" s="42" t="n"/>
      <c r="B40" s="42" t="n"/>
      <c r="C40" s="43" t="n"/>
      <c r="D40" s="44" t="n"/>
      <c r="E40" s="16">
        <f>IF(C40="","",C40+D40)</f>
        <v/>
      </c>
      <c r="F40" s="22" t="n"/>
      <c r="G40" s="44" t="n"/>
      <c r="H40" s="16">
        <f>IF(E40="","",E40+G40)</f>
        <v/>
      </c>
      <c r="I40" s="17" t="n"/>
      <c r="J40" s="45">
        <f>IF(I40="","",IF(I40="Certain",RateCertain,IF(I40="Likely",RateLikely,IF(I40="Possible",RatePossible,IF(I40="Doubtful",RateDoubtful,"")))))</f>
        <v/>
      </c>
      <c r="K40" s="18">
        <f>IF(J40="","",IF(F40="","",F40*J40))</f>
        <v/>
      </c>
      <c r="L40" s="46">
        <f>IF(H40="","",IF(AND(INT((H40-Week1)/7)+1&gt;=1,INT((H40-Week1)/7)+1&lt;=13),INT((H40-Week1)/7)+1,"Outside the 13 weeks"))</f>
        <v/>
      </c>
      <c r="M40" s="18">
        <f>IF(A40="","",SUMIF(InCust,A40,InAmt))</f>
        <v/>
      </c>
      <c r="N40" s="42" t="n"/>
    </row>
    <row r="41">
      <c r="A41" s="42" t="n"/>
      <c r="B41" s="42" t="n"/>
      <c r="C41" s="43" t="n"/>
      <c r="D41" s="44" t="n"/>
      <c r="E41" s="16">
        <f>IF(C41="","",C41+D41)</f>
        <v/>
      </c>
      <c r="F41" s="22" t="n"/>
      <c r="G41" s="44" t="n"/>
      <c r="H41" s="16">
        <f>IF(E41="","",E41+G41)</f>
        <v/>
      </c>
      <c r="I41" s="17" t="n"/>
      <c r="J41" s="45">
        <f>IF(I41="","",IF(I41="Certain",RateCertain,IF(I41="Likely",RateLikely,IF(I41="Possible",RatePossible,IF(I41="Doubtful",RateDoubtful,"")))))</f>
        <v/>
      </c>
      <c r="K41" s="18">
        <f>IF(J41="","",IF(F41="","",F41*J41))</f>
        <v/>
      </c>
      <c r="L41" s="46">
        <f>IF(H41="","",IF(AND(INT((H41-Week1)/7)+1&gt;=1,INT((H41-Week1)/7)+1&lt;=13),INT((H41-Week1)/7)+1,"Outside the 13 weeks"))</f>
        <v/>
      </c>
      <c r="M41" s="18">
        <f>IF(A41="","",SUMIF(InCust,A41,InAmt))</f>
        <v/>
      </c>
      <c r="N41" s="42" t="n"/>
    </row>
    <row r="42">
      <c r="A42" s="42" t="n"/>
      <c r="B42" s="42" t="n"/>
      <c r="C42" s="43" t="n"/>
      <c r="D42" s="44" t="n"/>
      <c r="E42" s="16">
        <f>IF(C42="","",C42+D42)</f>
        <v/>
      </c>
      <c r="F42" s="22" t="n"/>
      <c r="G42" s="44" t="n"/>
      <c r="H42" s="16">
        <f>IF(E42="","",E42+G42)</f>
        <v/>
      </c>
      <c r="I42" s="17" t="n"/>
      <c r="J42" s="45">
        <f>IF(I42="","",IF(I42="Certain",RateCertain,IF(I42="Likely",RateLikely,IF(I42="Possible",RatePossible,IF(I42="Doubtful",RateDoubtful,"")))))</f>
        <v/>
      </c>
      <c r="K42" s="18">
        <f>IF(J42="","",IF(F42="","",F42*J42))</f>
        <v/>
      </c>
      <c r="L42" s="46">
        <f>IF(H42="","",IF(AND(INT((H42-Week1)/7)+1&gt;=1,INT((H42-Week1)/7)+1&lt;=13),INT((H42-Week1)/7)+1,"Outside the 13 weeks"))</f>
        <v/>
      </c>
      <c r="M42" s="18">
        <f>IF(A42="","",SUMIF(InCust,A42,InAmt))</f>
        <v/>
      </c>
      <c r="N42" s="42" t="n"/>
    </row>
    <row r="43">
      <c r="A43" s="42" t="n"/>
      <c r="B43" s="42" t="n"/>
      <c r="C43" s="43" t="n"/>
      <c r="D43" s="44" t="n"/>
      <c r="E43" s="16">
        <f>IF(C43="","",C43+D43)</f>
        <v/>
      </c>
      <c r="F43" s="22" t="n"/>
      <c r="G43" s="44" t="n"/>
      <c r="H43" s="16">
        <f>IF(E43="","",E43+G43)</f>
        <v/>
      </c>
      <c r="I43" s="17" t="n"/>
      <c r="J43" s="45">
        <f>IF(I43="","",IF(I43="Certain",RateCertain,IF(I43="Likely",RateLikely,IF(I43="Possible",RatePossible,IF(I43="Doubtful",RateDoubtful,"")))))</f>
        <v/>
      </c>
      <c r="K43" s="18">
        <f>IF(J43="","",IF(F43="","",F43*J43))</f>
        <v/>
      </c>
      <c r="L43" s="46">
        <f>IF(H43="","",IF(AND(INT((H43-Week1)/7)+1&gt;=1,INT((H43-Week1)/7)+1&lt;=13),INT((H43-Week1)/7)+1,"Outside the 13 weeks"))</f>
        <v/>
      </c>
      <c r="M43" s="18">
        <f>IF(A43="","",SUMIF(InCust,A43,InAmt))</f>
        <v/>
      </c>
      <c r="N43" s="42" t="n"/>
    </row>
    <row r="44">
      <c r="A44" s="42" t="n"/>
      <c r="B44" s="42" t="n"/>
      <c r="C44" s="43" t="n"/>
      <c r="D44" s="44" t="n"/>
      <c r="E44" s="16">
        <f>IF(C44="","",C44+D44)</f>
        <v/>
      </c>
      <c r="F44" s="22" t="n"/>
      <c r="G44" s="44" t="n"/>
      <c r="H44" s="16">
        <f>IF(E44="","",E44+G44)</f>
        <v/>
      </c>
      <c r="I44" s="17" t="n"/>
      <c r="J44" s="45">
        <f>IF(I44="","",IF(I44="Certain",RateCertain,IF(I44="Likely",RateLikely,IF(I44="Possible",RatePossible,IF(I44="Doubtful",RateDoubtful,"")))))</f>
        <v/>
      </c>
      <c r="K44" s="18">
        <f>IF(J44="","",IF(F44="","",F44*J44))</f>
        <v/>
      </c>
      <c r="L44" s="46">
        <f>IF(H44="","",IF(AND(INT((H44-Week1)/7)+1&gt;=1,INT((H44-Week1)/7)+1&lt;=13),INT((H44-Week1)/7)+1,"Outside the 13 weeks"))</f>
        <v/>
      </c>
      <c r="M44" s="18">
        <f>IF(A44="","",SUMIF(InCust,A44,InAmt))</f>
        <v/>
      </c>
      <c r="N44" s="42" t="n"/>
    </row>
    <row r="45">
      <c r="A45" s="42" t="n"/>
      <c r="B45" s="42" t="n"/>
      <c r="C45" s="43" t="n"/>
      <c r="D45" s="44" t="n"/>
      <c r="E45" s="16">
        <f>IF(C45="","",C45+D45)</f>
        <v/>
      </c>
      <c r="F45" s="22" t="n"/>
      <c r="G45" s="44" t="n"/>
      <c r="H45" s="16">
        <f>IF(E45="","",E45+G45)</f>
        <v/>
      </c>
      <c r="I45" s="17" t="n"/>
      <c r="J45" s="45">
        <f>IF(I45="","",IF(I45="Certain",RateCertain,IF(I45="Likely",RateLikely,IF(I45="Possible",RatePossible,IF(I45="Doubtful",RateDoubtful,"")))))</f>
        <v/>
      </c>
      <c r="K45" s="18">
        <f>IF(J45="","",IF(F45="","",F45*J45))</f>
        <v/>
      </c>
      <c r="L45" s="46">
        <f>IF(H45="","",IF(AND(INT((H45-Week1)/7)+1&gt;=1,INT((H45-Week1)/7)+1&lt;=13),INT((H45-Week1)/7)+1,"Outside the 13 weeks"))</f>
        <v/>
      </c>
      <c r="M45" s="18">
        <f>IF(A45="","",SUMIF(InCust,A45,InAmt))</f>
        <v/>
      </c>
      <c r="N45" s="42" t="n"/>
    </row>
    <row r="46">
      <c r="A46" s="42" t="n"/>
      <c r="B46" s="42" t="n"/>
      <c r="C46" s="43" t="n"/>
      <c r="D46" s="44" t="n"/>
      <c r="E46" s="16">
        <f>IF(C46="","",C46+D46)</f>
        <v/>
      </c>
      <c r="F46" s="22" t="n"/>
      <c r="G46" s="44" t="n"/>
      <c r="H46" s="16">
        <f>IF(E46="","",E46+G46)</f>
        <v/>
      </c>
      <c r="I46" s="17" t="n"/>
      <c r="J46" s="45">
        <f>IF(I46="","",IF(I46="Certain",RateCertain,IF(I46="Likely",RateLikely,IF(I46="Possible",RatePossible,IF(I46="Doubtful",RateDoubtful,"")))))</f>
        <v/>
      </c>
      <c r="K46" s="18">
        <f>IF(J46="","",IF(F46="","",F46*J46))</f>
        <v/>
      </c>
      <c r="L46" s="46">
        <f>IF(H46="","",IF(AND(INT((H46-Week1)/7)+1&gt;=1,INT((H46-Week1)/7)+1&lt;=13),INT((H46-Week1)/7)+1,"Outside the 13 weeks"))</f>
        <v/>
      </c>
      <c r="M46" s="18">
        <f>IF(A46="","",SUMIF(InCust,A46,InAmt))</f>
        <v/>
      </c>
      <c r="N46" s="42" t="n"/>
    </row>
    <row r="47">
      <c r="A47" s="42" t="n"/>
      <c r="B47" s="42" t="n"/>
      <c r="C47" s="43" t="n"/>
      <c r="D47" s="44" t="n"/>
      <c r="E47" s="16">
        <f>IF(C47="","",C47+D47)</f>
        <v/>
      </c>
      <c r="F47" s="22" t="n"/>
      <c r="G47" s="44" t="n"/>
      <c r="H47" s="16">
        <f>IF(E47="","",E47+G47)</f>
        <v/>
      </c>
      <c r="I47" s="17" t="n"/>
      <c r="J47" s="45">
        <f>IF(I47="","",IF(I47="Certain",RateCertain,IF(I47="Likely",RateLikely,IF(I47="Possible",RatePossible,IF(I47="Doubtful",RateDoubtful,"")))))</f>
        <v/>
      </c>
      <c r="K47" s="18">
        <f>IF(J47="","",IF(F47="","",F47*J47))</f>
        <v/>
      </c>
      <c r="L47" s="46">
        <f>IF(H47="","",IF(AND(INT((H47-Week1)/7)+1&gt;=1,INT((H47-Week1)/7)+1&lt;=13),INT((H47-Week1)/7)+1,"Outside the 13 weeks"))</f>
        <v/>
      </c>
      <c r="M47" s="18">
        <f>IF(A47="","",SUMIF(InCust,A47,InAmt))</f>
        <v/>
      </c>
      <c r="N47" s="42" t="n"/>
    </row>
    <row r="48">
      <c r="A48" s="42" t="n"/>
      <c r="B48" s="42" t="n"/>
      <c r="C48" s="43" t="n"/>
      <c r="D48" s="44" t="n"/>
      <c r="E48" s="16">
        <f>IF(C48="","",C48+D48)</f>
        <v/>
      </c>
      <c r="F48" s="22" t="n"/>
      <c r="G48" s="44" t="n"/>
      <c r="H48" s="16">
        <f>IF(E48="","",E48+G48)</f>
        <v/>
      </c>
      <c r="I48" s="17" t="n"/>
      <c r="J48" s="45">
        <f>IF(I48="","",IF(I48="Certain",RateCertain,IF(I48="Likely",RateLikely,IF(I48="Possible",RatePossible,IF(I48="Doubtful",RateDoubtful,"")))))</f>
        <v/>
      </c>
      <c r="K48" s="18">
        <f>IF(J48="","",IF(F48="","",F48*J48))</f>
        <v/>
      </c>
      <c r="L48" s="46">
        <f>IF(H48="","",IF(AND(INT((H48-Week1)/7)+1&gt;=1,INT((H48-Week1)/7)+1&lt;=13),INT((H48-Week1)/7)+1,"Outside the 13 weeks"))</f>
        <v/>
      </c>
      <c r="M48" s="18">
        <f>IF(A48="","",SUMIF(InCust,A48,InAmt))</f>
        <v/>
      </c>
      <c r="N48" s="42" t="n"/>
    </row>
    <row r="49">
      <c r="A49" s="42" t="n"/>
      <c r="B49" s="42" t="n"/>
      <c r="C49" s="43" t="n"/>
      <c r="D49" s="44" t="n"/>
      <c r="E49" s="16">
        <f>IF(C49="","",C49+D49)</f>
        <v/>
      </c>
      <c r="F49" s="22" t="n"/>
      <c r="G49" s="44" t="n"/>
      <c r="H49" s="16">
        <f>IF(E49="","",E49+G49)</f>
        <v/>
      </c>
      <c r="I49" s="17" t="n"/>
      <c r="J49" s="45">
        <f>IF(I49="","",IF(I49="Certain",RateCertain,IF(I49="Likely",RateLikely,IF(I49="Possible",RatePossible,IF(I49="Doubtful",RateDoubtful,"")))))</f>
        <v/>
      </c>
      <c r="K49" s="18">
        <f>IF(J49="","",IF(F49="","",F49*J49))</f>
        <v/>
      </c>
      <c r="L49" s="46">
        <f>IF(H49="","",IF(AND(INT((H49-Week1)/7)+1&gt;=1,INT((H49-Week1)/7)+1&lt;=13),INT((H49-Week1)/7)+1,"Outside the 13 weeks"))</f>
        <v/>
      </c>
      <c r="M49" s="18">
        <f>IF(A49="","",SUMIF(InCust,A49,InAmt))</f>
        <v/>
      </c>
      <c r="N49" s="42" t="n"/>
    </row>
    <row r="50">
      <c r="A50" s="42" t="n"/>
      <c r="B50" s="42" t="n"/>
      <c r="C50" s="43" t="n"/>
      <c r="D50" s="44" t="n"/>
      <c r="E50" s="16">
        <f>IF(C50="","",C50+D50)</f>
        <v/>
      </c>
      <c r="F50" s="22" t="n"/>
      <c r="G50" s="44" t="n"/>
      <c r="H50" s="16">
        <f>IF(E50="","",E50+G50)</f>
        <v/>
      </c>
      <c r="I50" s="17" t="n"/>
      <c r="J50" s="45">
        <f>IF(I50="","",IF(I50="Certain",RateCertain,IF(I50="Likely",RateLikely,IF(I50="Possible",RatePossible,IF(I50="Doubtful",RateDoubtful,"")))))</f>
        <v/>
      </c>
      <c r="K50" s="18">
        <f>IF(J50="","",IF(F50="","",F50*J50))</f>
        <v/>
      </c>
      <c r="L50" s="46">
        <f>IF(H50="","",IF(AND(INT((H50-Week1)/7)+1&gt;=1,INT((H50-Week1)/7)+1&lt;=13),INT((H50-Week1)/7)+1,"Outside the 13 weeks"))</f>
        <v/>
      </c>
      <c r="M50" s="18">
        <f>IF(A50="","",SUMIF(InCust,A50,InAmt))</f>
        <v/>
      </c>
      <c r="N50" s="42" t="n"/>
    </row>
    <row r="51">
      <c r="A51" s="42" t="n"/>
      <c r="B51" s="42" t="n"/>
      <c r="C51" s="43" t="n"/>
      <c r="D51" s="44" t="n"/>
      <c r="E51" s="16">
        <f>IF(C51="","",C51+D51)</f>
        <v/>
      </c>
      <c r="F51" s="22" t="n"/>
      <c r="G51" s="44" t="n"/>
      <c r="H51" s="16">
        <f>IF(E51="","",E51+G51)</f>
        <v/>
      </c>
      <c r="I51" s="17" t="n"/>
      <c r="J51" s="45">
        <f>IF(I51="","",IF(I51="Certain",RateCertain,IF(I51="Likely",RateLikely,IF(I51="Possible",RatePossible,IF(I51="Doubtful",RateDoubtful,"")))))</f>
        <v/>
      </c>
      <c r="K51" s="18">
        <f>IF(J51="","",IF(F51="","",F51*J51))</f>
        <v/>
      </c>
      <c r="L51" s="46">
        <f>IF(H51="","",IF(AND(INT((H51-Week1)/7)+1&gt;=1,INT((H51-Week1)/7)+1&lt;=13),INT((H51-Week1)/7)+1,"Outside the 13 weeks"))</f>
        <v/>
      </c>
      <c r="M51" s="18">
        <f>IF(A51="","",SUMIF(InCust,A51,InAmt))</f>
        <v/>
      </c>
      <c r="N51" s="42" t="n"/>
    </row>
    <row r="52">
      <c r="A52" s="42" t="n"/>
      <c r="B52" s="42" t="n"/>
      <c r="C52" s="43" t="n"/>
      <c r="D52" s="44" t="n"/>
      <c r="E52" s="16">
        <f>IF(C52="","",C52+D52)</f>
        <v/>
      </c>
      <c r="F52" s="22" t="n"/>
      <c r="G52" s="44" t="n"/>
      <c r="H52" s="16">
        <f>IF(E52="","",E52+G52)</f>
        <v/>
      </c>
      <c r="I52" s="17" t="n"/>
      <c r="J52" s="45">
        <f>IF(I52="","",IF(I52="Certain",RateCertain,IF(I52="Likely",RateLikely,IF(I52="Possible",RatePossible,IF(I52="Doubtful",RateDoubtful,"")))))</f>
        <v/>
      </c>
      <c r="K52" s="18">
        <f>IF(J52="","",IF(F52="","",F52*J52))</f>
        <v/>
      </c>
      <c r="L52" s="46">
        <f>IF(H52="","",IF(AND(INT((H52-Week1)/7)+1&gt;=1,INT((H52-Week1)/7)+1&lt;=13),INT((H52-Week1)/7)+1,"Outside the 13 weeks"))</f>
        <v/>
      </c>
      <c r="M52" s="18">
        <f>IF(A52="","",SUMIF(InCust,A52,InAmt))</f>
        <v/>
      </c>
      <c r="N52" s="42" t="n"/>
    </row>
    <row r="53">
      <c r="A53" s="42" t="n"/>
      <c r="B53" s="42" t="n"/>
      <c r="C53" s="43" t="n"/>
      <c r="D53" s="44" t="n"/>
      <c r="E53" s="16">
        <f>IF(C53="","",C53+D53)</f>
        <v/>
      </c>
      <c r="F53" s="22" t="n"/>
      <c r="G53" s="44" t="n"/>
      <c r="H53" s="16">
        <f>IF(E53="","",E53+G53)</f>
        <v/>
      </c>
      <c r="I53" s="17" t="n"/>
      <c r="J53" s="45">
        <f>IF(I53="","",IF(I53="Certain",RateCertain,IF(I53="Likely",RateLikely,IF(I53="Possible",RatePossible,IF(I53="Doubtful",RateDoubtful,"")))))</f>
        <v/>
      </c>
      <c r="K53" s="18">
        <f>IF(J53="","",IF(F53="","",F53*J53))</f>
        <v/>
      </c>
      <c r="L53" s="46">
        <f>IF(H53="","",IF(AND(INT((H53-Week1)/7)+1&gt;=1,INT((H53-Week1)/7)+1&lt;=13),INT((H53-Week1)/7)+1,"Outside the 13 weeks"))</f>
        <v/>
      </c>
      <c r="M53" s="18">
        <f>IF(A53="","",SUMIF(InCust,A53,InAmt))</f>
        <v/>
      </c>
      <c r="N53" s="42" t="n"/>
    </row>
    <row r="54">
      <c r="A54" s="42" t="n"/>
      <c r="B54" s="42" t="n"/>
      <c r="C54" s="43" t="n"/>
      <c r="D54" s="44" t="n"/>
      <c r="E54" s="16">
        <f>IF(C54="","",C54+D54)</f>
        <v/>
      </c>
      <c r="F54" s="22" t="n"/>
      <c r="G54" s="44" t="n"/>
      <c r="H54" s="16">
        <f>IF(E54="","",E54+G54)</f>
        <v/>
      </c>
      <c r="I54" s="17" t="n"/>
      <c r="J54" s="45">
        <f>IF(I54="","",IF(I54="Certain",RateCertain,IF(I54="Likely",RateLikely,IF(I54="Possible",RatePossible,IF(I54="Doubtful",RateDoubtful,"")))))</f>
        <v/>
      </c>
      <c r="K54" s="18">
        <f>IF(J54="","",IF(F54="","",F54*J54))</f>
        <v/>
      </c>
      <c r="L54" s="46">
        <f>IF(H54="","",IF(AND(INT((H54-Week1)/7)+1&gt;=1,INT((H54-Week1)/7)+1&lt;=13),INT((H54-Week1)/7)+1,"Outside the 13 weeks"))</f>
        <v/>
      </c>
      <c r="M54" s="18">
        <f>IF(A54="","",SUMIF(InCust,A54,InAmt))</f>
        <v/>
      </c>
      <c r="N54" s="42" t="n"/>
    </row>
    <row r="55">
      <c r="A55" s="42" t="n"/>
      <c r="B55" s="42" t="n"/>
      <c r="C55" s="43" t="n"/>
      <c r="D55" s="44" t="n"/>
      <c r="E55" s="16">
        <f>IF(C55="","",C55+D55)</f>
        <v/>
      </c>
      <c r="F55" s="22" t="n"/>
      <c r="G55" s="44" t="n"/>
      <c r="H55" s="16">
        <f>IF(E55="","",E55+G55)</f>
        <v/>
      </c>
      <c r="I55" s="17" t="n"/>
      <c r="J55" s="45">
        <f>IF(I55="","",IF(I55="Certain",RateCertain,IF(I55="Likely",RateLikely,IF(I55="Possible",RatePossible,IF(I55="Doubtful",RateDoubtful,"")))))</f>
        <v/>
      </c>
      <c r="K55" s="18">
        <f>IF(J55="","",IF(F55="","",F55*J55))</f>
        <v/>
      </c>
      <c r="L55" s="46">
        <f>IF(H55="","",IF(AND(INT((H55-Week1)/7)+1&gt;=1,INT((H55-Week1)/7)+1&lt;=13),INT((H55-Week1)/7)+1,"Outside the 13 weeks"))</f>
        <v/>
      </c>
      <c r="M55" s="18">
        <f>IF(A55="","",SUMIF(InCust,A55,InAmt))</f>
        <v/>
      </c>
      <c r="N55" s="42" t="n"/>
    </row>
    <row r="56">
      <c r="A56" s="42" t="n"/>
      <c r="B56" s="42" t="n"/>
      <c r="C56" s="43" t="n"/>
      <c r="D56" s="44" t="n"/>
      <c r="E56" s="16">
        <f>IF(C56="","",C56+D56)</f>
        <v/>
      </c>
      <c r="F56" s="22" t="n"/>
      <c r="G56" s="44" t="n"/>
      <c r="H56" s="16">
        <f>IF(E56="","",E56+G56)</f>
        <v/>
      </c>
      <c r="I56" s="17" t="n"/>
      <c r="J56" s="45">
        <f>IF(I56="","",IF(I56="Certain",RateCertain,IF(I56="Likely",RateLikely,IF(I56="Possible",RatePossible,IF(I56="Doubtful",RateDoubtful,"")))))</f>
        <v/>
      </c>
      <c r="K56" s="18">
        <f>IF(J56="","",IF(F56="","",F56*J56))</f>
        <v/>
      </c>
      <c r="L56" s="46">
        <f>IF(H56="","",IF(AND(INT((H56-Week1)/7)+1&gt;=1,INT((H56-Week1)/7)+1&lt;=13),INT((H56-Week1)/7)+1,"Outside the 13 weeks"))</f>
        <v/>
      </c>
      <c r="M56" s="18">
        <f>IF(A56="","",SUMIF(InCust,A56,InAmt))</f>
        <v/>
      </c>
      <c r="N56" s="42" t="n"/>
    </row>
    <row r="57">
      <c r="A57" s="42" t="n"/>
      <c r="B57" s="42" t="n"/>
      <c r="C57" s="43" t="n"/>
      <c r="D57" s="44" t="n"/>
      <c r="E57" s="16">
        <f>IF(C57="","",C57+D57)</f>
        <v/>
      </c>
      <c r="F57" s="22" t="n"/>
      <c r="G57" s="44" t="n"/>
      <c r="H57" s="16">
        <f>IF(E57="","",E57+G57)</f>
        <v/>
      </c>
      <c r="I57" s="17" t="n"/>
      <c r="J57" s="45">
        <f>IF(I57="","",IF(I57="Certain",RateCertain,IF(I57="Likely",RateLikely,IF(I57="Possible",RatePossible,IF(I57="Doubtful",RateDoubtful,"")))))</f>
        <v/>
      </c>
      <c r="K57" s="18">
        <f>IF(J57="","",IF(F57="","",F57*J57))</f>
        <v/>
      </c>
      <c r="L57" s="46">
        <f>IF(H57="","",IF(AND(INT((H57-Week1)/7)+1&gt;=1,INT((H57-Week1)/7)+1&lt;=13),INT((H57-Week1)/7)+1,"Outside the 13 weeks"))</f>
        <v/>
      </c>
      <c r="M57" s="18">
        <f>IF(A57="","",SUMIF(InCust,A57,InAmt))</f>
        <v/>
      </c>
      <c r="N57" s="42" t="n"/>
    </row>
    <row r="58">
      <c r="A58" s="42" t="n"/>
      <c r="B58" s="42" t="n"/>
      <c r="C58" s="43" t="n"/>
      <c r="D58" s="44" t="n"/>
      <c r="E58" s="16">
        <f>IF(C58="","",C58+D58)</f>
        <v/>
      </c>
      <c r="F58" s="22" t="n"/>
      <c r="G58" s="44" t="n"/>
      <c r="H58" s="16">
        <f>IF(E58="","",E58+G58)</f>
        <v/>
      </c>
      <c r="I58" s="17" t="n"/>
      <c r="J58" s="45">
        <f>IF(I58="","",IF(I58="Certain",RateCertain,IF(I58="Likely",RateLikely,IF(I58="Possible",RatePossible,IF(I58="Doubtful",RateDoubtful,"")))))</f>
        <v/>
      </c>
      <c r="K58" s="18">
        <f>IF(J58="","",IF(F58="","",F58*J58))</f>
        <v/>
      </c>
      <c r="L58" s="46">
        <f>IF(H58="","",IF(AND(INT((H58-Week1)/7)+1&gt;=1,INT((H58-Week1)/7)+1&lt;=13),INT((H58-Week1)/7)+1,"Outside the 13 weeks"))</f>
        <v/>
      </c>
      <c r="M58" s="18">
        <f>IF(A58="","",SUMIF(InCust,A58,InAmt))</f>
        <v/>
      </c>
      <c r="N58" s="42" t="n"/>
    </row>
    <row r="59">
      <c r="A59" s="42" t="n"/>
      <c r="B59" s="42" t="n"/>
      <c r="C59" s="43" t="n"/>
      <c r="D59" s="44" t="n"/>
      <c r="E59" s="16">
        <f>IF(C59="","",C59+D59)</f>
        <v/>
      </c>
      <c r="F59" s="22" t="n"/>
      <c r="G59" s="44" t="n"/>
      <c r="H59" s="16">
        <f>IF(E59="","",E59+G59)</f>
        <v/>
      </c>
      <c r="I59" s="17" t="n"/>
      <c r="J59" s="45">
        <f>IF(I59="","",IF(I59="Certain",RateCertain,IF(I59="Likely",RateLikely,IF(I59="Possible",RatePossible,IF(I59="Doubtful",RateDoubtful,"")))))</f>
        <v/>
      </c>
      <c r="K59" s="18">
        <f>IF(J59="","",IF(F59="","",F59*J59))</f>
        <v/>
      </c>
      <c r="L59" s="46">
        <f>IF(H59="","",IF(AND(INT((H59-Week1)/7)+1&gt;=1,INT((H59-Week1)/7)+1&lt;=13),INT((H59-Week1)/7)+1,"Outside the 13 weeks"))</f>
        <v/>
      </c>
      <c r="M59" s="18">
        <f>IF(A59="","",SUMIF(InCust,A59,InAmt))</f>
        <v/>
      </c>
      <c r="N59" s="42" t="n"/>
    </row>
    <row r="60">
      <c r="A60" s="42" t="n"/>
      <c r="B60" s="42" t="n"/>
      <c r="C60" s="43" t="n"/>
      <c r="D60" s="44" t="n"/>
      <c r="E60" s="16">
        <f>IF(C60="","",C60+D60)</f>
        <v/>
      </c>
      <c r="F60" s="22" t="n"/>
      <c r="G60" s="44" t="n"/>
      <c r="H60" s="16">
        <f>IF(E60="","",E60+G60)</f>
        <v/>
      </c>
      <c r="I60" s="17" t="n"/>
      <c r="J60" s="45">
        <f>IF(I60="","",IF(I60="Certain",RateCertain,IF(I60="Likely",RateLikely,IF(I60="Possible",RatePossible,IF(I60="Doubtful",RateDoubtful,"")))))</f>
        <v/>
      </c>
      <c r="K60" s="18">
        <f>IF(J60="","",IF(F60="","",F60*J60))</f>
        <v/>
      </c>
      <c r="L60" s="46">
        <f>IF(H60="","",IF(AND(INT((H60-Week1)/7)+1&gt;=1,INT((H60-Week1)/7)+1&lt;=13),INT((H60-Week1)/7)+1,"Outside the 13 weeks"))</f>
        <v/>
      </c>
      <c r="M60" s="18">
        <f>IF(A60="","",SUMIF(InCust,A60,InAmt))</f>
        <v/>
      </c>
      <c r="N60" s="42" t="n"/>
    </row>
    <row r="61">
      <c r="A61" s="42" t="n"/>
      <c r="B61" s="42" t="n"/>
      <c r="C61" s="43" t="n"/>
      <c r="D61" s="44" t="n"/>
      <c r="E61" s="16">
        <f>IF(C61="","",C61+D61)</f>
        <v/>
      </c>
      <c r="F61" s="22" t="n"/>
      <c r="G61" s="44" t="n"/>
      <c r="H61" s="16">
        <f>IF(E61="","",E61+G61)</f>
        <v/>
      </c>
      <c r="I61" s="17" t="n"/>
      <c r="J61" s="45">
        <f>IF(I61="","",IF(I61="Certain",RateCertain,IF(I61="Likely",RateLikely,IF(I61="Possible",RatePossible,IF(I61="Doubtful",RateDoubtful,"")))))</f>
        <v/>
      </c>
      <c r="K61" s="18">
        <f>IF(J61="","",IF(F61="","",F61*J61))</f>
        <v/>
      </c>
      <c r="L61" s="46">
        <f>IF(H61="","",IF(AND(INT((H61-Week1)/7)+1&gt;=1,INT((H61-Week1)/7)+1&lt;=13),INT((H61-Week1)/7)+1,"Outside the 13 weeks"))</f>
        <v/>
      </c>
      <c r="M61" s="18">
        <f>IF(A61="","",SUMIF(InCust,A61,InAmt))</f>
        <v/>
      </c>
      <c r="N61" s="42" t="n"/>
    </row>
    <row r="62">
      <c r="A62" s="42" t="n"/>
      <c r="B62" s="42" t="n"/>
      <c r="C62" s="43" t="n"/>
      <c r="D62" s="44" t="n"/>
      <c r="E62" s="16">
        <f>IF(C62="","",C62+D62)</f>
        <v/>
      </c>
      <c r="F62" s="22" t="n"/>
      <c r="G62" s="44" t="n"/>
      <c r="H62" s="16">
        <f>IF(E62="","",E62+G62)</f>
        <v/>
      </c>
      <c r="I62" s="17" t="n"/>
      <c r="J62" s="45">
        <f>IF(I62="","",IF(I62="Certain",RateCertain,IF(I62="Likely",RateLikely,IF(I62="Possible",RatePossible,IF(I62="Doubtful",RateDoubtful,"")))))</f>
        <v/>
      </c>
      <c r="K62" s="18">
        <f>IF(J62="","",IF(F62="","",F62*J62))</f>
        <v/>
      </c>
      <c r="L62" s="46">
        <f>IF(H62="","",IF(AND(INT((H62-Week1)/7)+1&gt;=1,INT((H62-Week1)/7)+1&lt;=13),INT((H62-Week1)/7)+1,"Outside the 13 weeks"))</f>
        <v/>
      </c>
      <c r="M62" s="18">
        <f>IF(A62="","",SUMIF(InCust,A62,InAmt))</f>
        <v/>
      </c>
      <c r="N62" s="42" t="n"/>
    </row>
    <row r="63">
      <c r="A63" s="42" t="n"/>
      <c r="B63" s="42" t="n"/>
      <c r="C63" s="43" t="n"/>
      <c r="D63" s="44" t="n"/>
      <c r="E63" s="16">
        <f>IF(C63="","",C63+D63)</f>
        <v/>
      </c>
      <c r="F63" s="22" t="n"/>
      <c r="G63" s="44" t="n"/>
      <c r="H63" s="16">
        <f>IF(E63="","",E63+G63)</f>
        <v/>
      </c>
      <c r="I63" s="17" t="n"/>
      <c r="J63" s="45">
        <f>IF(I63="","",IF(I63="Certain",RateCertain,IF(I63="Likely",RateLikely,IF(I63="Possible",RatePossible,IF(I63="Doubtful",RateDoubtful,"")))))</f>
        <v/>
      </c>
      <c r="K63" s="18">
        <f>IF(J63="","",IF(F63="","",F63*J63))</f>
        <v/>
      </c>
      <c r="L63" s="46">
        <f>IF(H63="","",IF(AND(INT((H63-Week1)/7)+1&gt;=1,INT((H63-Week1)/7)+1&lt;=13),INT((H63-Week1)/7)+1,"Outside the 13 weeks"))</f>
        <v/>
      </c>
      <c r="M63" s="18">
        <f>IF(A63="","",SUMIF(InCust,A63,InAmt))</f>
        <v/>
      </c>
      <c r="N63" s="42" t="n"/>
    </row>
    <row r="64">
      <c r="A64" s="42" t="n"/>
      <c r="B64" s="42" t="n"/>
      <c r="C64" s="43" t="n"/>
      <c r="D64" s="44" t="n"/>
      <c r="E64" s="16">
        <f>IF(C64="","",C64+D64)</f>
        <v/>
      </c>
      <c r="F64" s="22" t="n"/>
      <c r="G64" s="44" t="n"/>
      <c r="H64" s="16">
        <f>IF(E64="","",E64+G64)</f>
        <v/>
      </c>
      <c r="I64" s="17" t="n"/>
      <c r="J64" s="45">
        <f>IF(I64="","",IF(I64="Certain",RateCertain,IF(I64="Likely",RateLikely,IF(I64="Possible",RatePossible,IF(I64="Doubtful",RateDoubtful,"")))))</f>
        <v/>
      </c>
      <c r="K64" s="18">
        <f>IF(J64="","",IF(F64="","",F64*J64))</f>
        <v/>
      </c>
      <c r="L64" s="46">
        <f>IF(H64="","",IF(AND(INT((H64-Week1)/7)+1&gt;=1,INT((H64-Week1)/7)+1&lt;=13),INT((H64-Week1)/7)+1,"Outside the 13 weeks"))</f>
        <v/>
      </c>
      <c r="M64" s="18">
        <f>IF(A64="","",SUMIF(InCust,A64,InAmt))</f>
        <v/>
      </c>
      <c r="N64" s="42" t="n"/>
    </row>
    <row r="65">
      <c r="A65" s="42" t="n"/>
      <c r="B65" s="42" t="n"/>
      <c r="C65" s="43" t="n"/>
      <c r="D65" s="44" t="n"/>
      <c r="E65" s="16">
        <f>IF(C65="","",C65+D65)</f>
        <v/>
      </c>
      <c r="F65" s="22" t="n"/>
      <c r="G65" s="44" t="n"/>
      <c r="H65" s="16">
        <f>IF(E65="","",E65+G65)</f>
        <v/>
      </c>
      <c r="I65" s="17" t="n"/>
      <c r="J65" s="45">
        <f>IF(I65="","",IF(I65="Certain",RateCertain,IF(I65="Likely",RateLikely,IF(I65="Possible",RatePossible,IF(I65="Doubtful",RateDoubtful,"")))))</f>
        <v/>
      </c>
      <c r="K65" s="18">
        <f>IF(J65="","",IF(F65="","",F65*J65))</f>
        <v/>
      </c>
      <c r="L65" s="46">
        <f>IF(H65="","",IF(AND(INT((H65-Week1)/7)+1&gt;=1,INT((H65-Week1)/7)+1&lt;=13),INT((H65-Week1)/7)+1,"Outside the 13 weeks"))</f>
        <v/>
      </c>
      <c r="M65" s="18">
        <f>IF(A65="","",SUMIF(InCust,A65,InAmt))</f>
        <v/>
      </c>
      <c r="N65" s="42" t="n"/>
    </row>
    <row r="66">
      <c r="A66" s="42" t="n"/>
      <c r="B66" s="42" t="n"/>
      <c r="C66" s="43" t="n"/>
      <c r="D66" s="44" t="n"/>
      <c r="E66" s="16">
        <f>IF(C66="","",C66+D66)</f>
        <v/>
      </c>
      <c r="F66" s="22" t="n"/>
      <c r="G66" s="44" t="n"/>
      <c r="H66" s="16">
        <f>IF(E66="","",E66+G66)</f>
        <v/>
      </c>
      <c r="I66" s="17" t="n"/>
      <c r="J66" s="45">
        <f>IF(I66="","",IF(I66="Certain",RateCertain,IF(I66="Likely",RateLikely,IF(I66="Possible",RatePossible,IF(I66="Doubtful",RateDoubtful,"")))))</f>
        <v/>
      </c>
      <c r="K66" s="18">
        <f>IF(J66="","",IF(F66="","",F66*J66))</f>
        <v/>
      </c>
      <c r="L66" s="46">
        <f>IF(H66="","",IF(AND(INT((H66-Week1)/7)+1&gt;=1,INT((H66-Week1)/7)+1&lt;=13),INT((H66-Week1)/7)+1,"Outside the 13 weeks"))</f>
        <v/>
      </c>
      <c r="M66" s="18">
        <f>IF(A66="","",SUMIF(InCust,A66,InAmt))</f>
        <v/>
      </c>
      <c r="N66" s="42" t="n"/>
    </row>
    <row r="67">
      <c r="A67" s="42" t="n"/>
      <c r="B67" s="42" t="n"/>
      <c r="C67" s="43" t="n"/>
      <c r="D67" s="44" t="n"/>
      <c r="E67" s="16">
        <f>IF(C67="","",C67+D67)</f>
        <v/>
      </c>
      <c r="F67" s="22" t="n"/>
      <c r="G67" s="44" t="n"/>
      <c r="H67" s="16">
        <f>IF(E67="","",E67+G67)</f>
        <v/>
      </c>
      <c r="I67" s="17" t="n"/>
      <c r="J67" s="45">
        <f>IF(I67="","",IF(I67="Certain",RateCertain,IF(I67="Likely",RateLikely,IF(I67="Possible",RatePossible,IF(I67="Doubtful",RateDoubtful,"")))))</f>
        <v/>
      </c>
      <c r="K67" s="18">
        <f>IF(J67="","",IF(F67="","",F67*J67))</f>
        <v/>
      </c>
      <c r="L67" s="46">
        <f>IF(H67="","",IF(AND(INT((H67-Week1)/7)+1&gt;=1,INT((H67-Week1)/7)+1&lt;=13),INT((H67-Week1)/7)+1,"Outside the 13 weeks"))</f>
        <v/>
      </c>
      <c r="M67" s="18">
        <f>IF(A67="","",SUMIF(InCust,A67,InAmt))</f>
        <v/>
      </c>
      <c r="N67" s="42" t="n"/>
    </row>
    <row r="68">
      <c r="A68" s="42" t="n"/>
      <c r="B68" s="42" t="n"/>
      <c r="C68" s="43" t="n"/>
      <c r="D68" s="44" t="n"/>
      <c r="E68" s="16">
        <f>IF(C68="","",C68+D68)</f>
        <v/>
      </c>
      <c r="F68" s="22" t="n"/>
      <c r="G68" s="44" t="n"/>
      <c r="H68" s="16">
        <f>IF(E68="","",E68+G68)</f>
        <v/>
      </c>
      <c r="I68" s="17" t="n"/>
      <c r="J68" s="45">
        <f>IF(I68="","",IF(I68="Certain",RateCertain,IF(I68="Likely",RateLikely,IF(I68="Possible",RatePossible,IF(I68="Doubtful",RateDoubtful,"")))))</f>
        <v/>
      </c>
      <c r="K68" s="18">
        <f>IF(J68="","",IF(F68="","",F68*J68))</f>
        <v/>
      </c>
      <c r="L68" s="46">
        <f>IF(H68="","",IF(AND(INT((H68-Week1)/7)+1&gt;=1,INT((H68-Week1)/7)+1&lt;=13),INT((H68-Week1)/7)+1,"Outside the 13 weeks"))</f>
        <v/>
      </c>
      <c r="M68" s="18">
        <f>IF(A68="","",SUMIF(InCust,A68,InAmt))</f>
        <v/>
      </c>
      <c r="N68" s="42" t="n"/>
    </row>
    <row r="69">
      <c r="A69" s="42" t="n"/>
      <c r="B69" s="42" t="n"/>
      <c r="C69" s="43" t="n"/>
      <c r="D69" s="44" t="n"/>
      <c r="E69" s="16">
        <f>IF(C69="","",C69+D69)</f>
        <v/>
      </c>
      <c r="F69" s="22" t="n"/>
      <c r="G69" s="44" t="n"/>
      <c r="H69" s="16">
        <f>IF(E69="","",E69+G69)</f>
        <v/>
      </c>
      <c r="I69" s="17" t="n"/>
      <c r="J69" s="45">
        <f>IF(I69="","",IF(I69="Certain",RateCertain,IF(I69="Likely",RateLikely,IF(I69="Possible",RatePossible,IF(I69="Doubtful",RateDoubtful,"")))))</f>
        <v/>
      </c>
      <c r="K69" s="18">
        <f>IF(J69="","",IF(F69="","",F69*J69))</f>
        <v/>
      </c>
      <c r="L69" s="46">
        <f>IF(H69="","",IF(AND(INT((H69-Week1)/7)+1&gt;=1,INT((H69-Week1)/7)+1&lt;=13),INT((H69-Week1)/7)+1,"Outside the 13 weeks"))</f>
        <v/>
      </c>
      <c r="M69" s="18">
        <f>IF(A69="","",SUMIF(InCust,A69,InAmt))</f>
        <v/>
      </c>
      <c r="N69" s="42" t="n"/>
    </row>
    <row r="70">
      <c r="A70" s="42" t="n"/>
      <c r="B70" s="42" t="n"/>
      <c r="C70" s="43" t="n"/>
      <c r="D70" s="44" t="n"/>
      <c r="E70" s="16">
        <f>IF(C70="","",C70+D70)</f>
        <v/>
      </c>
      <c r="F70" s="22" t="n"/>
      <c r="G70" s="44" t="n"/>
      <c r="H70" s="16">
        <f>IF(E70="","",E70+G70)</f>
        <v/>
      </c>
      <c r="I70" s="17" t="n"/>
      <c r="J70" s="45">
        <f>IF(I70="","",IF(I70="Certain",RateCertain,IF(I70="Likely",RateLikely,IF(I70="Possible",RatePossible,IF(I70="Doubtful",RateDoubtful,"")))))</f>
        <v/>
      </c>
      <c r="K70" s="18">
        <f>IF(J70="","",IF(F70="","",F70*J70))</f>
        <v/>
      </c>
      <c r="L70" s="46">
        <f>IF(H70="","",IF(AND(INT((H70-Week1)/7)+1&gt;=1,INT((H70-Week1)/7)+1&lt;=13),INT((H70-Week1)/7)+1,"Outside the 13 weeks"))</f>
        <v/>
      </c>
      <c r="M70" s="18">
        <f>IF(A70="","",SUMIF(InCust,A70,InAmt))</f>
        <v/>
      </c>
      <c r="N70" s="42" t="n"/>
    </row>
    <row r="71">
      <c r="A71" s="42" t="n"/>
      <c r="B71" s="42" t="n"/>
      <c r="C71" s="43" t="n"/>
      <c r="D71" s="44" t="n"/>
      <c r="E71" s="16">
        <f>IF(C71="","",C71+D71)</f>
        <v/>
      </c>
      <c r="F71" s="22" t="n"/>
      <c r="G71" s="44" t="n"/>
      <c r="H71" s="16">
        <f>IF(E71="","",E71+G71)</f>
        <v/>
      </c>
      <c r="I71" s="17" t="n"/>
      <c r="J71" s="45">
        <f>IF(I71="","",IF(I71="Certain",RateCertain,IF(I71="Likely",RateLikely,IF(I71="Possible",RatePossible,IF(I71="Doubtful",RateDoubtful,"")))))</f>
        <v/>
      </c>
      <c r="K71" s="18">
        <f>IF(J71="","",IF(F71="","",F71*J71))</f>
        <v/>
      </c>
      <c r="L71" s="46">
        <f>IF(H71="","",IF(AND(INT((H71-Week1)/7)+1&gt;=1,INT((H71-Week1)/7)+1&lt;=13),INT((H71-Week1)/7)+1,"Outside the 13 weeks"))</f>
        <v/>
      </c>
      <c r="M71" s="18">
        <f>IF(A71="","",SUMIF(InCust,A71,InAmt))</f>
        <v/>
      </c>
      <c r="N71" s="42" t="n"/>
    </row>
    <row r="72">
      <c r="A72" s="42" t="n"/>
      <c r="B72" s="42" t="n"/>
      <c r="C72" s="43" t="n"/>
      <c r="D72" s="44" t="n"/>
      <c r="E72" s="16">
        <f>IF(C72="","",C72+D72)</f>
        <v/>
      </c>
      <c r="F72" s="22" t="n"/>
      <c r="G72" s="44" t="n"/>
      <c r="H72" s="16">
        <f>IF(E72="","",E72+G72)</f>
        <v/>
      </c>
      <c r="I72" s="17" t="n"/>
      <c r="J72" s="45">
        <f>IF(I72="","",IF(I72="Certain",RateCertain,IF(I72="Likely",RateLikely,IF(I72="Possible",RatePossible,IF(I72="Doubtful",RateDoubtful,"")))))</f>
        <v/>
      </c>
      <c r="K72" s="18">
        <f>IF(J72="","",IF(F72="","",F72*J72))</f>
        <v/>
      </c>
      <c r="L72" s="46">
        <f>IF(H72="","",IF(AND(INT((H72-Week1)/7)+1&gt;=1,INT((H72-Week1)/7)+1&lt;=13),INT((H72-Week1)/7)+1,"Outside the 13 weeks"))</f>
        <v/>
      </c>
      <c r="M72" s="18">
        <f>IF(A72="","",SUMIF(InCust,A72,InAmt))</f>
        <v/>
      </c>
      <c r="N72" s="42" t="n"/>
    </row>
    <row r="73">
      <c r="A73" s="42" t="n"/>
      <c r="B73" s="42" t="n"/>
      <c r="C73" s="43" t="n"/>
      <c r="D73" s="44" t="n"/>
      <c r="E73" s="16">
        <f>IF(C73="","",C73+D73)</f>
        <v/>
      </c>
      <c r="F73" s="22" t="n"/>
      <c r="G73" s="44" t="n"/>
      <c r="H73" s="16">
        <f>IF(E73="","",E73+G73)</f>
        <v/>
      </c>
      <c r="I73" s="17" t="n"/>
      <c r="J73" s="45">
        <f>IF(I73="","",IF(I73="Certain",RateCertain,IF(I73="Likely",RateLikely,IF(I73="Possible",RatePossible,IF(I73="Doubtful",RateDoubtful,"")))))</f>
        <v/>
      </c>
      <c r="K73" s="18">
        <f>IF(J73="","",IF(F73="","",F73*J73))</f>
        <v/>
      </c>
      <c r="L73" s="46">
        <f>IF(H73="","",IF(AND(INT((H73-Week1)/7)+1&gt;=1,INT((H73-Week1)/7)+1&lt;=13),INT((H73-Week1)/7)+1,"Outside the 13 weeks"))</f>
        <v/>
      </c>
      <c r="M73" s="18">
        <f>IF(A73="","",SUMIF(InCust,A73,InAmt))</f>
        <v/>
      </c>
      <c r="N73" s="42" t="n"/>
    </row>
    <row r="74">
      <c r="A74" s="42" t="n"/>
      <c r="B74" s="42" t="n"/>
      <c r="C74" s="43" t="n"/>
      <c r="D74" s="44" t="n"/>
      <c r="E74" s="16">
        <f>IF(C74="","",C74+D74)</f>
        <v/>
      </c>
      <c r="F74" s="22" t="n"/>
      <c r="G74" s="44" t="n"/>
      <c r="H74" s="16">
        <f>IF(E74="","",E74+G74)</f>
        <v/>
      </c>
      <c r="I74" s="17" t="n"/>
      <c r="J74" s="45">
        <f>IF(I74="","",IF(I74="Certain",RateCertain,IF(I74="Likely",RateLikely,IF(I74="Possible",RatePossible,IF(I74="Doubtful",RateDoubtful,"")))))</f>
        <v/>
      </c>
      <c r="K74" s="18">
        <f>IF(J74="","",IF(F74="","",F74*J74))</f>
        <v/>
      </c>
      <c r="L74" s="46">
        <f>IF(H74="","",IF(AND(INT((H74-Week1)/7)+1&gt;=1,INT((H74-Week1)/7)+1&lt;=13),INT((H74-Week1)/7)+1,"Outside the 13 weeks"))</f>
        <v/>
      </c>
      <c r="M74" s="18">
        <f>IF(A74="","",SUMIF(InCust,A74,InAmt))</f>
        <v/>
      </c>
      <c r="N74" s="42" t="n"/>
    </row>
    <row r="75">
      <c r="A75" s="42" t="n"/>
      <c r="B75" s="42" t="n"/>
      <c r="C75" s="43" t="n"/>
      <c r="D75" s="44" t="n"/>
      <c r="E75" s="16">
        <f>IF(C75="","",C75+D75)</f>
        <v/>
      </c>
      <c r="F75" s="22" t="n"/>
      <c r="G75" s="44" t="n"/>
      <c r="H75" s="16">
        <f>IF(E75="","",E75+G75)</f>
        <v/>
      </c>
      <c r="I75" s="17" t="n"/>
      <c r="J75" s="45">
        <f>IF(I75="","",IF(I75="Certain",RateCertain,IF(I75="Likely",RateLikely,IF(I75="Possible",RatePossible,IF(I75="Doubtful",RateDoubtful,"")))))</f>
        <v/>
      </c>
      <c r="K75" s="18">
        <f>IF(J75="","",IF(F75="","",F75*J75))</f>
        <v/>
      </c>
      <c r="L75" s="46">
        <f>IF(H75="","",IF(AND(INT((H75-Week1)/7)+1&gt;=1,INT((H75-Week1)/7)+1&lt;=13),INT((H75-Week1)/7)+1,"Outside the 13 weeks"))</f>
        <v/>
      </c>
      <c r="M75" s="18">
        <f>IF(A75="","",SUMIF(InCust,A75,InAmt))</f>
        <v/>
      </c>
      <c r="N75" s="42" t="n"/>
    </row>
    <row r="76">
      <c r="A76" s="42" t="n"/>
      <c r="B76" s="42" t="n"/>
      <c r="C76" s="43" t="n"/>
      <c r="D76" s="44" t="n"/>
      <c r="E76" s="16">
        <f>IF(C76="","",C76+D76)</f>
        <v/>
      </c>
      <c r="F76" s="22" t="n"/>
      <c r="G76" s="44" t="n"/>
      <c r="H76" s="16">
        <f>IF(E76="","",E76+G76)</f>
        <v/>
      </c>
      <c r="I76" s="17" t="n"/>
      <c r="J76" s="45">
        <f>IF(I76="","",IF(I76="Certain",RateCertain,IF(I76="Likely",RateLikely,IF(I76="Possible",RatePossible,IF(I76="Doubtful",RateDoubtful,"")))))</f>
        <v/>
      </c>
      <c r="K76" s="18">
        <f>IF(J76="","",IF(F76="","",F76*J76))</f>
        <v/>
      </c>
      <c r="L76" s="46">
        <f>IF(H76="","",IF(AND(INT((H76-Week1)/7)+1&gt;=1,INT((H76-Week1)/7)+1&lt;=13),INT((H76-Week1)/7)+1,"Outside the 13 weeks"))</f>
        <v/>
      </c>
      <c r="M76" s="18">
        <f>IF(A76="","",SUMIF(InCust,A76,InAmt))</f>
        <v/>
      </c>
      <c r="N76" s="42" t="n"/>
    </row>
    <row r="77">
      <c r="A77" s="42" t="n"/>
      <c r="B77" s="42" t="n"/>
      <c r="C77" s="43" t="n"/>
      <c r="D77" s="44" t="n"/>
      <c r="E77" s="16">
        <f>IF(C77="","",C77+D77)</f>
        <v/>
      </c>
      <c r="F77" s="22" t="n"/>
      <c r="G77" s="44" t="n"/>
      <c r="H77" s="16">
        <f>IF(E77="","",E77+G77)</f>
        <v/>
      </c>
      <c r="I77" s="17" t="n"/>
      <c r="J77" s="45">
        <f>IF(I77="","",IF(I77="Certain",RateCertain,IF(I77="Likely",RateLikely,IF(I77="Possible",RatePossible,IF(I77="Doubtful",RateDoubtful,"")))))</f>
        <v/>
      </c>
      <c r="K77" s="18">
        <f>IF(J77="","",IF(F77="","",F77*J77))</f>
        <v/>
      </c>
      <c r="L77" s="46">
        <f>IF(H77="","",IF(AND(INT((H77-Week1)/7)+1&gt;=1,INT((H77-Week1)/7)+1&lt;=13),INT((H77-Week1)/7)+1,"Outside the 13 weeks"))</f>
        <v/>
      </c>
      <c r="M77" s="18">
        <f>IF(A77="","",SUMIF(InCust,A77,InAmt))</f>
        <v/>
      </c>
      <c r="N77" s="42" t="n"/>
    </row>
    <row r="78">
      <c r="A78" s="42" t="n"/>
      <c r="B78" s="42" t="n"/>
      <c r="C78" s="43" t="n"/>
      <c r="D78" s="44" t="n"/>
      <c r="E78" s="16">
        <f>IF(C78="","",C78+D78)</f>
        <v/>
      </c>
      <c r="F78" s="22" t="n"/>
      <c r="G78" s="44" t="n"/>
      <c r="H78" s="16">
        <f>IF(E78="","",E78+G78)</f>
        <v/>
      </c>
      <c r="I78" s="17" t="n"/>
      <c r="J78" s="45">
        <f>IF(I78="","",IF(I78="Certain",RateCertain,IF(I78="Likely",RateLikely,IF(I78="Possible",RatePossible,IF(I78="Doubtful",RateDoubtful,"")))))</f>
        <v/>
      </c>
      <c r="K78" s="18">
        <f>IF(J78="","",IF(F78="","",F78*J78))</f>
        <v/>
      </c>
      <c r="L78" s="46">
        <f>IF(H78="","",IF(AND(INT((H78-Week1)/7)+1&gt;=1,INT((H78-Week1)/7)+1&lt;=13),INT((H78-Week1)/7)+1,"Outside the 13 weeks"))</f>
        <v/>
      </c>
      <c r="M78" s="18">
        <f>IF(A78="","",SUMIF(InCust,A78,InAmt))</f>
        <v/>
      </c>
      <c r="N78" s="42" t="n"/>
    </row>
    <row r="79">
      <c r="A79" s="42" t="n"/>
      <c r="B79" s="42" t="n"/>
      <c r="C79" s="43" t="n"/>
      <c r="D79" s="44" t="n"/>
      <c r="E79" s="16">
        <f>IF(C79="","",C79+D79)</f>
        <v/>
      </c>
      <c r="F79" s="22" t="n"/>
      <c r="G79" s="44" t="n"/>
      <c r="H79" s="16">
        <f>IF(E79="","",E79+G79)</f>
        <v/>
      </c>
      <c r="I79" s="17" t="n"/>
      <c r="J79" s="45">
        <f>IF(I79="","",IF(I79="Certain",RateCertain,IF(I79="Likely",RateLikely,IF(I79="Possible",RatePossible,IF(I79="Doubtful",RateDoubtful,"")))))</f>
        <v/>
      </c>
      <c r="K79" s="18">
        <f>IF(J79="","",IF(F79="","",F79*J79))</f>
        <v/>
      </c>
      <c r="L79" s="46">
        <f>IF(H79="","",IF(AND(INT((H79-Week1)/7)+1&gt;=1,INT((H79-Week1)/7)+1&lt;=13),INT((H79-Week1)/7)+1,"Outside the 13 weeks"))</f>
        <v/>
      </c>
      <c r="M79" s="18">
        <f>IF(A79="","",SUMIF(InCust,A79,InAmt))</f>
        <v/>
      </c>
      <c r="N79" s="42" t="n"/>
    </row>
    <row r="80">
      <c r="A80" s="42" t="n"/>
      <c r="B80" s="42" t="n"/>
      <c r="C80" s="43" t="n"/>
      <c r="D80" s="44" t="n"/>
      <c r="E80" s="16">
        <f>IF(C80="","",C80+D80)</f>
        <v/>
      </c>
      <c r="F80" s="22" t="n"/>
      <c r="G80" s="44" t="n"/>
      <c r="H80" s="16">
        <f>IF(E80="","",E80+G80)</f>
        <v/>
      </c>
      <c r="I80" s="17" t="n"/>
      <c r="J80" s="45">
        <f>IF(I80="","",IF(I80="Certain",RateCertain,IF(I80="Likely",RateLikely,IF(I80="Possible",RatePossible,IF(I80="Doubtful",RateDoubtful,"")))))</f>
        <v/>
      </c>
      <c r="K80" s="18">
        <f>IF(J80="","",IF(F80="","",F80*J80))</f>
        <v/>
      </c>
      <c r="L80" s="46">
        <f>IF(H80="","",IF(AND(INT((H80-Week1)/7)+1&gt;=1,INT((H80-Week1)/7)+1&lt;=13),INT((H80-Week1)/7)+1,"Outside the 13 weeks"))</f>
        <v/>
      </c>
      <c r="M80" s="18">
        <f>IF(A80="","",SUMIF(InCust,A80,InAmt))</f>
        <v/>
      </c>
      <c r="N80" s="42" t="n"/>
    </row>
    <row r="81">
      <c r="A81" s="42" t="n"/>
      <c r="B81" s="42" t="n"/>
      <c r="C81" s="43" t="n"/>
      <c r="D81" s="44" t="n"/>
      <c r="E81" s="16">
        <f>IF(C81="","",C81+D81)</f>
        <v/>
      </c>
      <c r="F81" s="22" t="n"/>
      <c r="G81" s="44" t="n"/>
      <c r="H81" s="16">
        <f>IF(E81="","",E81+G81)</f>
        <v/>
      </c>
      <c r="I81" s="17" t="n"/>
      <c r="J81" s="45">
        <f>IF(I81="","",IF(I81="Certain",RateCertain,IF(I81="Likely",RateLikely,IF(I81="Possible",RatePossible,IF(I81="Doubtful",RateDoubtful,"")))))</f>
        <v/>
      </c>
      <c r="K81" s="18">
        <f>IF(J81="","",IF(F81="","",F81*J81))</f>
        <v/>
      </c>
      <c r="L81" s="46">
        <f>IF(H81="","",IF(AND(INT((H81-Week1)/7)+1&gt;=1,INT((H81-Week1)/7)+1&lt;=13),INT((H81-Week1)/7)+1,"Outside the 13 weeks"))</f>
        <v/>
      </c>
      <c r="M81" s="18">
        <f>IF(A81="","",SUMIF(InCust,A81,InAmt))</f>
        <v/>
      </c>
      <c r="N81" s="42" t="n"/>
    </row>
    <row r="82">
      <c r="A82" s="42" t="n"/>
      <c r="B82" s="42" t="n"/>
      <c r="C82" s="43" t="n"/>
      <c r="D82" s="44" t="n"/>
      <c r="E82" s="16">
        <f>IF(C82="","",C82+D82)</f>
        <v/>
      </c>
      <c r="F82" s="22" t="n"/>
      <c r="G82" s="44" t="n"/>
      <c r="H82" s="16">
        <f>IF(E82="","",E82+G82)</f>
        <v/>
      </c>
      <c r="I82" s="17" t="n"/>
      <c r="J82" s="45">
        <f>IF(I82="","",IF(I82="Certain",RateCertain,IF(I82="Likely",RateLikely,IF(I82="Possible",RatePossible,IF(I82="Doubtful",RateDoubtful,"")))))</f>
        <v/>
      </c>
      <c r="K82" s="18">
        <f>IF(J82="","",IF(F82="","",F82*J82))</f>
        <v/>
      </c>
      <c r="L82" s="46">
        <f>IF(H82="","",IF(AND(INT((H82-Week1)/7)+1&gt;=1,INT((H82-Week1)/7)+1&lt;=13),INT((H82-Week1)/7)+1,"Outside the 13 weeks"))</f>
        <v/>
      </c>
      <c r="M82" s="18">
        <f>IF(A82="","",SUMIF(InCust,A82,InAmt))</f>
        <v/>
      </c>
      <c r="N82" s="42" t="n"/>
    </row>
    <row r="83">
      <c r="A83" s="42" t="n"/>
      <c r="B83" s="42" t="n"/>
      <c r="C83" s="43" t="n"/>
      <c r="D83" s="44" t="n"/>
      <c r="E83" s="16">
        <f>IF(C83="","",C83+D83)</f>
        <v/>
      </c>
      <c r="F83" s="22" t="n"/>
      <c r="G83" s="44" t="n"/>
      <c r="H83" s="16">
        <f>IF(E83="","",E83+G83)</f>
        <v/>
      </c>
      <c r="I83" s="17" t="n"/>
      <c r="J83" s="45">
        <f>IF(I83="","",IF(I83="Certain",RateCertain,IF(I83="Likely",RateLikely,IF(I83="Possible",RatePossible,IF(I83="Doubtful",RateDoubtful,"")))))</f>
        <v/>
      </c>
      <c r="K83" s="18">
        <f>IF(J83="","",IF(F83="","",F83*J83))</f>
        <v/>
      </c>
      <c r="L83" s="46">
        <f>IF(H83="","",IF(AND(INT((H83-Week1)/7)+1&gt;=1,INT((H83-Week1)/7)+1&lt;=13),INT((H83-Week1)/7)+1,"Outside the 13 weeks"))</f>
        <v/>
      </c>
      <c r="M83" s="18">
        <f>IF(A83="","",SUMIF(InCust,A83,InAmt))</f>
        <v/>
      </c>
      <c r="N83" s="42" t="n"/>
    </row>
    <row r="84">
      <c r="A84" s="42" t="n"/>
      <c r="B84" s="42" t="n"/>
      <c r="C84" s="43" t="n"/>
      <c r="D84" s="44" t="n"/>
      <c r="E84" s="16">
        <f>IF(C84="","",C84+D84)</f>
        <v/>
      </c>
      <c r="F84" s="22" t="n"/>
      <c r="G84" s="44" t="n"/>
      <c r="H84" s="16">
        <f>IF(E84="","",E84+G84)</f>
        <v/>
      </c>
      <c r="I84" s="17" t="n"/>
      <c r="J84" s="45">
        <f>IF(I84="","",IF(I84="Certain",RateCertain,IF(I84="Likely",RateLikely,IF(I84="Possible",RatePossible,IF(I84="Doubtful",RateDoubtful,"")))))</f>
        <v/>
      </c>
      <c r="K84" s="18">
        <f>IF(J84="","",IF(F84="","",F84*J84))</f>
        <v/>
      </c>
      <c r="L84" s="46">
        <f>IF(H84="","",IF(AND(INT((H84-Week1)/7)+1&gt;=1,INT((H84-Week1)/7)+1&lt;=13),INT((H84-Week1)/7)+1,"Outside the 13 weeks"))</f>
        <v/>
      </c>
      <c r="M84" s="18">
        <f>IF(A84="","",SUMIF(InCust,A84,InAmt))</f>
        <v/>
      </c>
      <c r="N84" s="42" t="n"/>
    </row>
    <row r="85">
      <c r="A85" s="23" t="inlineStr">
        <is>
          <t>TOTALS</t>
        </is>
      </c>
      <c r="B85" s="24" t="inlineStr"/>
      <c r="C85" s="24" t="inlineStr"/>
      <c r="D85" s="24" t="inlineStr"/>
      <c r="E85" s="24" t="inlineStr"/>
      <c r="F85" s="24">
        <f>SUM(F25:F84)</f>
        <v/>
      </c>
      <c r="G85" s="24" t="inlineStr"/>
      <c r="H85" s="24" t="inlineStr"/>
      <c r="I85" s="24" t="inlineStr"/>
      <c r="J85" s="24" t="inlineStr"/>
      <c r="K85" s="24">
        <f>SUM(K25:K84)</f>
        <v/>
      </c>
      <c r="L85" s="24" t="inlineStr"/>
      <c r="M85" s="24" t="inlineStr"/>
      <c r="N85" s="24" t="inlineStr"/>
    </row>
    <row r="86" ht="26" customHeight="1">
      <c r="A86" s="6" t="inlineStr">
        <is>
          <t>Note: The week number column says Outside the 13 weeks when a receipt falls before week 1 or after week 13. That row is excluded from the forecast on purpose. It is still money you are owed.</t>
        </is>
      </c>
    </row>
    <row r="87"/>
    <row r="88" ht="22" customHeight="1">
      <c r="A88" s="7" t="inlineStr">
        <is>
          <t>RECURRING AND NON INVOICE INCOME</t>
        </is>
      </c>
      <c r="B88" s="7" t="n"/>
      <c r="C88" s="7" t="n"/>
      <c r="D88" s="7" t="n"/>
      <c r="E88" s="7" t="n"/>
      <c r="F88" s="7" t="n"/>
      <c r="G88" s="7" t="n"/>
      <c r="H88" s="7" t="n"/>
      <c r="I88" s="7" t="n"/>
      <c r="J88" s="7" t="n"/>
      <c r="K88" s="7" t="n"/>
      <c r="L88" s="7" t="n"/>
      <c r="M88" s="7" t="n"/>
      <c r="N88" s="7" t="n"/>
    </row>
    <row r="89" ht="26" customHeight="1">
      <c r="A89" s="13" t="inlineStr">
        <is>
          <t>WHAT IT IS</t>
        </is>
      </c>
      <c r="B89" s="13" t="inlineStr">
        <is>
          <t>WEEK 1</t>
        </is>
      </c>
      <c r="C89" s="13" t="inlineStr">
        <is>
          <t>WEEK 2</t>
        </is>
      </c>
      <c r="D89" s="13" t="inlineStr">
        <is>
          <t>WEEK 3</t>
        </is>
      </c>
      <c r="E89" s="13" t="inlineStr">
        <is>
          <t>WEEK 4</t>
        </is>
      </c>
      <c r="F89" s="13" t="inlineStr">
        <is>
          <t>WEEK 5</t>
        </is>
      </c>
      <c r="G89" s="13" t="inlineStr">
        <is>
          <t>WEEK 6</t>
        </is>
      </c>
      <c r="H89" s="13" t="inlineStr">
        <is>
          <t>WEEK 7</t>
        </is>
      </c>
      <c r="I89" s="13" t="inlineStr">
        <is>
          <t>WEEK 8</t>
        </is>
      </c>
      <c r="J89" s="13" t="inlineStr">
        <is>
          <t>WEEK 9</t>
        </is>
      </c>
      <c r="K89" s="13" t="inlineStr">
        <is>
          <t>WEEK 10</t>
        </is>
      </c>
      <c r="L89" s="13" t="inlineStr">
        <is>
          <t>WEEK 11</t>
        </is>
      </c>
      <c r="M89" s="13" t="inlineStr">
        <is>
          <t>WEEK 12</t>
        </is>
      </c>
      <c r="N89" s="13" t="inlineStr">
        <is>
          <t>WEEK 13</t>
        </is>
      </c>
    </row>
    <row r="90">
      <c r="A90" s="20" t="inlineStr">
        <is>
          <t>Cash sales and card payments</t>
        </is>
      </c>
      <c r="B90" s="22" t="n"/>
      <c r="C90" s="22" t="n"/>
      <c r="D90" s="22" t="n"/>
      <c r="E90" s="22" t="n"/>
      <c r="F90" s="22" t="n"/>
      <c r="G90" s="22" t="n"/>
      <c r="H90" s="22" t="n"/>
      <c r="I90" s="22" t="n"/>
      <c r="J90" s="22" t="n"/>
      <c r="K90" s="22" t="n"/>
      <c r="L90" s="22" t="n"/>
      <c r="M90" s="22" t="n"/>
      <c r="N90" s="22" t="n"/>
    </row>
    <row r="91">
      <c r="A91" s="20" t="inlineStr">
        <is>
          <t>Capital injected by the owners</t>
        </is>
      </c>
      <c r="B91" s="22" t="n"/>
      <c r="C91" s="22" t="n"/>
      <c r="D91" s="22" t="n"/>
      <c r="E91" s="22" t="n"/>
      <c r="F91" s="22" t="n"/>
      <c r="G91" s="22" t="n"/>
      <c r="H91" s="22" t="n"/>
      <c r="I91" s="22" t="n"/>
      <c r="J91" s="22" t="n"/>
      <c r="K91" s="22" t="n"/>
      <c r="L91" s="22" t="n"/>
      <c r="M91" s="22" t="n"/>
      <c r="N91" s="22" t="n"/>
    </row>
    <row r="92">
      <c r="A92" s="20" t="inlineStr">
        <is>
          <t>Loan or facility drawdowns</t>
        </is>
      </c>
      <c r="B92" s="22" t="n"/>
      <c r="C92" s="22" t="n"/>
      <c r="D92" s="22" t="n"/>
      <c r="E92" s="22" t="n"/>
      <c r="F92" s="22" t="n"/>
      <c r="G92" s="22" t="n"/>
      <c r="H92" s="22" t="n"/>
      <c r="I92" s="22" t="n"/>
      <c r="J92" s="22" t="n"/>
      <c r="K92" s="22" t="n"/>
      <c r="L92" s="22" t="n"/>
      <c r="M92" s="22" t="n"/>
      <c r="N92" s="22" t="n"/>
    </row>
    <row r="93">
      <c r="A93" s="20" t="inlineStr">
        <is>
          <t>Grant funding received</t>
        </is>
      </c>
      <c r="B93" s="22" t="n"/>
      <c r="C93" s="22" t="n"/>
      <c r="D93" s="22" t="n"/>
      <c r="E93" s="22" t="n"/>
      <c r="F93" s="22" t="n"/>
      <c r="G93" s="22" t="n"/>
      <c r="H93" s="22" t="n"/>
      <c r="I93" s="22" t="n"/>
      <c r="J93" s="22" t="n"/>
      <c r="K93" s="22" t="n"/>
      <c r="L93" s="22" t="n"/>
      <c r="M93" s="22" t="n"/>
      <c r="N93" s="22" t="n"/>
    </row>
    <row r="94">
      <c r="A94" s="23" t="inlineStr">
        <is>
          <t>TOTAL RECURRING INCOME</t>
        </is>
      </c>
      <c r="B94" s="24">
        <f>SUM(B90:B93)</f>
        <v/>
      </c>
      <c r="C94" s="24">
        <f>SUM(C90:C93)</f>
        <v/>
      </c>
      <c r="D94" s="24">
        <f>SUM(D90:D93)</f>
        <v/>
      </c>
      <c r="E94" s="24">
        <f>SUM(E90:E93)</f>
        <v/>
      </c>
      <c r="F94" s="24">
        <f>SUM(F90:F93)</f>
        <v/>
      </c>
      <c r="G94" s="24">
        <f>SUM(G90:G93)</f>
        <v/>
      </c>
      <c r="H94" s="24">
        <f>SUM(H90:H93)</f>
        <v/>
      </c>
      <c r="I94" s="24">
        <f>SUM(I90:I93)</f>
        <v/>
      </c>
      <c r="J94" s="24">
        <f>SUM(J90:J93)</f>
        <v/>
      </c>
      <c r="K94" s="24">
        <f>SUM(K90:K93)</f>
        <v/>
      </c>
      <c r="L94" s="24">
        <f>SUM(L90:L93)</f>
        <v/>
      </c>
      <c r="M94" s="24">
        <f>SUM(M90:M93)</f>
        <v/>
      </c>
      <c r="N94" s="24">
        <f>SUM(N90:N93)</f>
        <v/>
      </c>
    </row>
    <row r="95"/>
    <row r="96" ht="24" customHeight="1">
      <c r="A96" s="6" t="inlineStr">
        <is>
          <t>Note: These four rows feed the forecast directly, week by week. Everything else on this sheet feeds it through the week number column.</t>
        </is>
      </c>
    </row>
    <row r="97" ht="24" customHeight="1">
      <c r="A97" s="6" t="inlineStr">
        <is>
          <t>Note: The days they usually pay late column is the most valuable input on this sheet. Every owner knows this number for their regulars, even if they have never written it down. Write it down.</t>
        </is>
      </c>
    </row>
    <row r="98" ht="24" customHeight="1">
      <c r="A98" s="6" t="inlineStr">
        <is>
          <t>Note: VAT is 15 percent and applies only if you are registered as a VAT vendor. Registration is compulsory once your taxable turnover passes R 2 300 000 in any 12 months, and voluntary from R 120 000.</t>
        </is>
      </c>
    </row>
    <row r="99" ht="24" customHeight="1">
      <c r="A99" s="6" t="inlineStr">
        <is>
          <t>Note: this template is a tool, not financial or legal advice for your particular situation. Speak to your accountant before you act on a number that matters.</t>
        </is>
      </c>
    </row>
  </sheetData>
  <mergeCells count="20">
    <mergeCell ref="C10:N10"/>
    <mergeCell ref="C16:N16"/>
    <mergeCell ref="A98:N98"/>
    <mergeCell ref="C9:N9"/>
    <mergeCell ref="B18:C18"/>
    <mergeCell ref="C21:N21"/>
    <mergeCell ref="A1:N1"/>
    <mergeCell ref="C12:N12"/>
    <mergeCell ref="C11:N11"/>
    <mergeCell ref="A7:N7"/>
    <mergeCell ref="A99:N99"/>
    <mergeCell ref="C17:N17"/>
    <mergeCell ref="C19:N19"/>
    <mergeCell ref="A2:N2"/>
    <mergeCell ref="A86:N86"/>
    <mergeCell ref="C13:N13"/>
    <mergeCell ref="D18:N18"/>
    <mergeCell ref="A97:N97"/>
    <mergeCell ref="A20:N20"/>
    <mergeCell ref="A96:N96"/>
  </mergeCells>
  <conditionalFormatting sqref="L25:L84">
    <cfRule type="expression" priority="1" dxfId="1" stopIfTrue="1">
      <formula>L25="Outside the 13 weeks"</formula>
    </cfRule>
    <cfRule type="expression" priority="2" dxfId="2" stopIfTrue="0">
      <formula>ISNUMBER(L25)</formula>
    </cfRule>
  </conditionalFormatting>
  <conditionalFormatting sqref="I25:I84">
    <cfRule type="expression" priority="3" dxfId="0" stopIfTrue="1">
      <formula>I25="Doubtful"</formula>
    </cfRule>
    <cfRule type="expression" priority="4" dxfId="1" stopIfTrue="1">
      <formula>I25="Possible"</formula>
    </cfRule>
    <cfRule type="expression" priority="5" dxfId="2" stopIfTrue="0">
      <formula>I25="Certain"</formula>
    </cfRule>
  </conditionalFormatting>
  <conditionalFormatting sqref="M25:M84">
    <cfRule type="expression" priority="6" dxfId="0" stopIfTrue="0">
      <formula>AND(ISNUMBER(M25),SUM(InAmt)&gt;0,M25&gt;SUM(InAmt)*ConcThreshold)</formula>
    </cfRule>
  </conditionalFormatting>
  <conditionalFormatting sqref="B19">
    <cfRule type="expression" priority="7" dxfId="0" stopIfTrue="1">
      <formula>B19&gt;ConcThreshold</formula>
    </cfRule>
    <cfRule type="expression" priority="8" dxfId="2" stopIfTrue="0">
      <formula>B19&lt;=ConcThreshold</formula>
    </cfRule>
  </conditionalFormatting>
  <dataValidations count="1">
    <dataValidation sqref="I25:I84" showDropDown="0" showInputMessage="0" showErrorMessage="0" allowBlank="1" type="list">
      <formula1>"Certain,Likely,Possible,Doubtful"</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97"/>
  <sheetViews>
    <sheetView showGridLines="0" workbookViewId="0">
      <pane ySplit="9" topLeftCell="A10" activePane="bottomLeft" state="frozen"/>
      <selection pane="bottomLeft" activeCell="A1" sqref="A1"/>
    </sheetView>
  </sheetViews>
  <sheetFormatPr baseColWidth="8" defaultRowHeight="15"/>
  <cols>
    <col width="34" customWidth="1" min="1" max="1"/>
    <col width="26" customWidth="1" min="2" max="2"/>
    <col width="16" customWidth="1" min="3" max="3"/>
    <col width="21" customWidth="1" min="4" max="4"/>
    <col width="21" customWidth="1" min="5" max="5"/>
    <col width="15" customWidth="1" min="6" max="6"/>
    <col width="21" customWidth="1" min="7" max="7"/>
    <col width="46" customWidth="1" min="8" max="8"/>
  </cols>
  <sheetData>
    <row r="1" ht="26" customHeight="1">
      <c r="A1" s="1" t="inlineStr">
        <is>
          <t>MONEY GOING OUT</t>
        </is>
      </c>
    </row>
    <row r="2" ht="14" customHeight="1">
      <c r="A2" s="2" t="inlineStr">
        <is>
          <t>Every commitment you have already made, and the SARS dates that arrive whether you planned for them or not.</t>
        </is>
      </c>
    </row>
    <row r="3" ht="4" customHeight="1"/>
    <row r="4" ht="15" customHeight="1">
      <c r="A4" s="3" t="inlineStr">
        <is>
          <t>[YOUR COMPANY NAME]</t>
        </is>
      </c>
      <c r="H4" s="4" t="inlineStr">
        <is>
          <t>[ Insert your logo in the space above ]</t>
        </is>
      </c>
    </row>
    <row r="5" ht="15" customHeight="1">
      <c r="A5" s="5" t="inlineStr">
        <is>
          <t>Reg No: [XXXX/XXXXXX/XX]</t>
        </is>
      </c>
      <c r="H5" s="4" t="inlineStr">
        <is>
          <t>VAT No: [4XXXXXXXXX] (if VAT registered)</t>
        </is>
      </c>
    </row>
    <row r="6" ht="15" customHeight="1">
      <c r="A6" s="5" t="inlineStr">
        <is>
          <t>[email@yourbusiness.co.za]</t>
        </is>
      </c>
      <c r="H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COMMITMENTS AND DEBIT ORDERS</t>
        </is>
      </c>
      <c r="B8" s="7" t="n"/>
      <c r="C8" s="7" t="n"/>
      <c r="D8" s="7" t="n"/>
      <c r="E8" s="7" t="n"/>
      <c r="F8" s="7" t="n"/>
      <c r="G8" s="7" t="n"/>
      <c r="H8" s="7" t="n"/>
    </row>
    <row r="9" ht="30" customHeight="1">
      <c r="A9" s="13" t="inlineStr">
        <is>
          <t>WHAT IT IS</t>
        </is>
      </c>
      <c r="B9" s="13" t="inlineStr">
        <is>
          <t>WHO IT IS PAID TO</t>
        </is>
      </c>
      <c r="C9" s="13" t="inlineStr">
        <is>
          <t>AMOUNT</t>
        </is>
      </c>
      <c r="D9" s="13" t="inlineStr">
        <is>
          <t>DUE DATE</t>
        </is>
      </c>
      <c r="E9" s="13" t="inlineStr">
        <is>
          <t>HOW IT IS PAID</t>
        </is>
      </c>
      <c r="F9" s="13" t="inlineStr">
        <is>
          <t>FIXED OR VARIABLE</t>
        </is>
      </c>
      <c r="G9" s="13" t="inlineStr">
        <is>
          <t>WEEK NUMBER</t>
        </is>
      </c>
      <c r="H9" s="13" t="inlineStr">
        <is>
          <t>NOTES</t>
        </is>
      </c>
    </row>
    <row r="10">
      <c r="A10" s="42" t="n"/>
      <c r="B10" s="42" t="n"/>
      <c r="C10" s="22" t="n"/>
      <c r="D10" s="43" t="n"/>
      <c r="E10" s="17" t="n"/>
      <c r="F10" s="17" t="n"/>
      <c r="G10" s="46">
        <f>IF(D10="","",IF(AND(INT((D10-Week1)/7)+1&gt;=1,INT((D10-Week1)/7)+1&lt;=13),INT((D10-Week1)/7)+1,"Outside the 13 weeks"))</f>
        <v/>
      </c>
      <c r="H10" s="42" t="n"/>
    </row>
    <row r="11">
      <c r="A11" s="42" t="n"/>
      <c r="B11" s="42" t="n"/>
      <c r="C11" s="22" t="n"/>
      <c r="D11" s="43" t="n"/>
      <c r="E11" s="17" t="n"/>
      <c r="F11" s="17" t="n"/>
      <c r="G11" s="46">
        <f>IF(D11="","",IF(AND(INT((D11-Week1)/7)+1&gt;=1,INT((D11-Week1)/7)+1&lt;=13),INT((D11-Week1)/7)+1,"Outside the 13 weeks"))</f>
        <v/>
      </c>
      <c r="H11" s="42" t="n"/>
    </row>
    <row r="12">
      <c r="A12" s="42" t="n"/>
      <c r="B12" s="42" t="n"/>
      <c r="C12" s="22" t="n"/>
      <c r="D12" s="43" t="n"/>
      <c r="E12" s="17" t="n"/>
      <c r="F12" s="17" t="n"/>
      <c r="G12" s="46">
        <f>IF(D12="","",IF(AND(INT((D12-Week1)/7)+1&gt;=1,INT((D12-Week1)/7)+1&lt;=13),INT((D12-Week1)/7)+1,"Outside the 13 weeks"))</f>
        <v/>
      </c>
      <c r="H12" s="42" t="n"/>
    </row>
    <row r="13">
      <c r="A13" s="42" t="n"/>
      <c r="B13" s="42" t="n"/>
      <c r="C13" s="22" t="n"/>
      <c r="D13" s="43" t="n"/>
      <c r="E13" s="17" t="n"/>
      <c r="F13" s="17" t="n"/>
      <c r="G13" s="46">
        <f>IF(D13="","",IF(AND(INT((D13-Week1)/7)+1&gt;=1,INT((D13-Week1)/7)+1&lt;=13),INT((D13-Week1)/7)+1,"Outside the 13 weeks"))</f>
        <v/>
      </c>
      <c r="H13" s="42" t="n"/>
    </row>
    <row r="14">
      <c r="A14" s="42" t="n"/>
      <c r="B14" s="42" t="n"/>
      <c r="C14" s="22" t="n"/>
      <c r="D14" s="43" t="n"/>
      <c r="E14" s="17" t="n"/>
      <c r="F14" s="17" t="n"/>
      <c r="G14" s="46">
        <f>IF(D14="","",IF(AND(INT((D14-Week1)/7)+1&gt;=1,INT((D14-Week1)/7)+1&lt;=13),INT((D14-Week1)/7)+1,"Outside the 13 weeks"))</f>
        <v/>
      </c>
      <c r="H14" s="42" t="n"/>
    </row>
    <row r="15">
      <c r="A15" s="42" t="n"/>
      <c r="B15" s="42" t="n"/>
      <c r="C15" s="22" t="n"/>
      <c r="D15" s="43" t="n"/>
      <c r="E15" s="17" t="n"/>
      <c r="F15" s="17" t="n"/>
      <c r="G15" s="46">
        <f>IF(D15="","",IF(AND(INT((D15-Week1)/7)+1&gt;=1,INT((D15-Week1)/7)+1&lt;=13),INT((D15-Week1)/7)+1,"Outside the 13 weeks"))</f>
        <v/>
      </c>
      <c r="H15" s="42" t="n"/>
    </row>
    <row r="16">
      <c r="A16" s="42" t="n"/>
      <c r="B16" s="42" t="n"/>
      <c r="C16" s="22" t="n"/>
      <c r="D16" s="43" t="n"/>
      <c r="E16" s="17" t="n"/>
      <c r="F16" s="17" t="n"/>
      <c r="G16" s="46">
        <f>IF(D16="","",IF(AND(INT((D16-Week1)/7)+1&gt;=1,INT((D16-Week1)/7)+1&lt;=13),INT((D16-Week1)/7)+1,"Outside the 13 weeks"))</f>
        <v/>
      </c>
      <c r="H16" s="42" t="n"/>
    </row>
    <row r="17">
      <c r="A17" s="42" t="n"/>
      <c r="B17" s="42" t="n"/>
      <c r="C17" s="22" t="n"/>
      <c r="D17" s="43" t="n"/>
      <c r="E17" s="17" t="n"/>
      <c r="F17" s="17" t="n"/>
      <c r="G17" s="46">
        <f>IF(D17="","",IF(AND(INT((D17-Week1)/7)+1&gt;=1,INT((D17-Week1)/7)+1&lt;=13),INT((D17-Week1)/7)+1,"Outside the 13 weeks"))</f>
        <v/>
      </c>
      <c r="H17" s="42" t="n"/>
    </row>
    <row r="18">
      <c r="A18" s="42" t="n"/>
      <c r="B18" s="42" t="n"/>
      <c r="C18" s="22" t="n"/>
      <c r="D18" s="43" t="n"/>
      <c r="E18" s="17" t="n"/>
      <c r="F18" s="17" t="n"/>
      <c r="G18" s="46">
        <f>IF(D18="","",IF(AND(INT((D18-Week1)/7)+1&gt;=1,INT((D18-Week1)/7)+1&lt;=13),INT((D18-Week1)/7)+1,"Outside the 13 weeks"))</f>
        <v/>
      </c>
      <c r="H18" s="42" t="n"/>
    </row>
    <row r="19">
      <c r="A19" s="42" t="n"/>
      <c r="B19" s="42" t="n"/>
      <c r="C19" s="22" t="n"/>
      <c r="D19" s="43" t="n"/>
      <c r="E19" s="17" t="n"/>
      <c r="F19" s="17" t="n"/>
      <c r="G19" s="46">
        <f>IF(D19="","",IF(AND(INT((D19-Week1)/7)+1&gt;=1,INT((D19-Week1)/7)+1&lt;=13),INT((D19-Week1)/7)+1,"Outside the 13 weeks"))</f>
        <v/>
      </c>
      <c r="H19" s="42" t="n"/>
    </row>
    <row r="20">
      <c r="A20" s="42" t="n"/>
      <c r="B20" s="42" t="n"/>
      <c r="C20" s="22" t="n"/>
      <c r="D20" s="43" t="n"/>
      <c r="E20" s="17" t="n"/>
      <c r="F20" s="17" t="n"/>
      <c r="G20" s="46">
        <f>IF(D20="","",IF(AND(INT((D20-Week1)/7)+1&gt;=1,INT((D20-Week1)/7)+1&lt;=13),INT((D20-Week1)/7)+1,"Outside the 13 weeks"))</f>
        <v/>
      </c>
      <c r="H20" s="42" t="n"/>
    </row>
    <row r="21">
      <c r="A21" s="42" t="n"/>
      <c r="B21" s="42" t="n"/>
      <c r="C21" s="22" t="n"/>
      <c r="D21" s="43" t="n"/>
      <c r="E21" s="17" t="n"/>
      <c r="F21" s="17" t="n"/>
      <c r="G21" s="46">
        <f>IF(D21="","",IF(AND(INT((D21-Week1)/7)+1&gt;=1,INT((D21-Week1)/7)+1&lt;=13),INT((D21-Week1)/7)+1,"Outside the 13 weeks"))</f>
        <v/>
      </c>
      <c r="H21" s="42" t="n"/>
    </row>
    <row r="22">
      <c r="A22" s="42" t="n"/>
      <c r="B22" s="42" t="n"/>
      <c r="C22" s="22" t="n"/>
      <c r="D22" s="43" t="n"/>
      <c r="E22" s="17" t="n"/>
      <c r="F22" s="17" t="n"/>
      <c r="G22" s="46">
        <f>IF(D22="","",IF(AND(INT((D22-Week1)/7)+1&gt;=1,INT((D22-Week1)/7)+1&lt;=13),INT((D22-Week1)/7)+1,"Outside the 13 weeks"))</f>
        <v/>
      </c>
      <c r="H22" s="42" t="n"/>
    </row>
    <row r="23">
      <c r="A23" s="42" t="n"/>
      <c r="B23" s="42" t="n"/>
      <c r="C23" s="22" t="n"/>
      <c r="D23" s="43" t="n"/>
      <c r="E23" s="17" t="n"/>
      <c r="F23" s="17" t="n"/>
      <c r="G23" s="46">
        <f>IF(D23="","",IF(AND(INT((D23-Week1)/7)+1&gt;=1,INT((D23-Week1)/7)+1&lt;=13),INT((D23-Week1)/7)+1,"Outside the 13 weeks"))</f>
        <v/>
      </c>
      <c r="H23" s="42" t="n"/>
    </row>
    <row r="24">
      <c r="A24" s="42" t="n"/>
      <c r="B24" s="42" t="n"/>
      <c r="C24" s="22" t="n"/>
      <c r="D24" s="43" t="n"/>
      <c r="E24" s="17" t="n"/>
      <c r="F24" s="17" t="n"/>
      <c r="G24" s="46">
        <f>IF(D24="","",IF(AND(INT((D24-Week1)/7)+1&gt;=1,INT((D24-Week1)/7)+1&lt;=13),INT((D24-Week1)/7)+1,"Outside the 13 weeks"))</f>
        <v/>
      </c>
      <c r="H24" s="42" t="n"/>
    </row>
    <row r="25">
      <c r="A25" s="42" t="n"/>
      <c r="B25" s="42" t="n"/>
      <c r="C25" s="22" t="n"/>
      <c r="D25" s="43" t="n"/>
      <c r="E25" s="17" t="n"/>
      <c r="F25" s="17" t="n"/>
      <c r="G25" s="46">
        <f>IF(D25="","",IF(AND(INT((D25-Week1)/7)+1&gt;=1,INT((D25-Week1)/7)+1&lt;=13),INT((D25-Week1)/7)+1,"Outside the 13 weeks"))</f>
        <v/>
      </c>
      <c r="H25" s="42" t="n"/>
    </row>
    <row r="26">
      <c r="A26" s="42" t="n"/>
      <c r="B26" s="42" t="n"/>
      <c r="C26" s="22" t="n"/>
      <c r="D26" s="43" t="n"/>
      <c r="E26" s="17" t="n"/>
      <c r="F26" s="17" t="n"/>
      <c r="G26" s="46">
        <f>IF(D26="","",IF(AND(INT((D26-Week1)/7)+1&gt;=1,INT((D26-Week1)/7)+1&lt;=13),INT((D26-Week1)/7)+1,"Outside the 13 weeks"))</f>
        <v/>
      </c>
      <c r="H26" s="42" t="n"/>
    </row>
    <row r="27">
      <c r="A27" s="42" t="n"/>
      <c r="B27" s="42" t="n"/>
      <c r="C27" s="22" t="n"/>
      <c r="D27" s="43" t="n"/>
      <c r="E27" s="17" t="n"/>
      <c r="F27" s="17" t="n"/>
      <c r="G27" s="46">
        <f>IF(D27="","",IF(AND(INT((D27-Week1)/7)+1&gt;=1,INT((D27-Week1)/7)+1&lt;=13),INT((D27-Week1)/7)+1,"Outside the 13 weeks"))</f>
        <v/>
      </c>
      <c r="H27" s="42" t="n"/>
    </row>
    <row r="28">
      <c r="A28" s="42" t="n"/>
      <c r="B28" s="42" t="n"/>
      <c r="C28" s="22" t="n"/>
      <c r="D28" s="43" t="n"/>
      <c r="E28" s="17" t="n"/>
      <c r="F28" s="17" t="n"/>
      <c r="G28" s="46">
        <f>IF(D28="","",IF(AND(INT((D28-Week1)/7)+1&gt;=1,INT((D28-Week1)/7)+1&lt;=13),INT((D28-Week1)/7)+1,"Outside the 13 weeks"))</f>
        <v/>
      </c>
      <c r="H28" s="42" t="n"/>
    </row>
    <row r="29">
      <c r="A29" s="42" t="n"/>
      <c r="B29" s="42" t="n"/>
      <c r="C29" s="22" t="n"/>
      <c r="D29" s="43" t="n"/>
      <c r="E29" s="17" t="n"/>
      <c r="F29" s="17" t="n"/>
      <c r="G29" s="46">
        <f>IF(D29="","",IF(AND(INT((D29-Week1)/7)+1&gt;=1,INT((D29-Week1)/7)+1&lt;=13),INT((D29-Week1)/7)+1,"Outside the 13 weeks"))</f>
        <v/>
      </c>
      <c r="H29" s="42" t="n"/>
    </row>
    <row r="30">
      <c r="A30" s="42" t="n"/>
      <c r="B30" s="42" t="n"/>
      <c r="C30" s="22" t="n"/>
      <c r="D30" s="43" t="n"/>
      <c r="E30" s="17" t="n"/>
      <c r="F30" s="17" t="n"/>
      <c r="G30" s="46">
        <f>IF(D30="","",IF(AND(INT((D30-Week1)/7)+1&gt;=1,INT((D30-Week1)/7)+1&lt;=13),INT((D30-Week1)/7)+1,"Outside the 13 weeks"))</f>
        <v/>
      </c>
      <c r="H30" s="42" t="n"/>
    </row>
    <row r="31">
      <c r="A31" s="42" t="n"/>
      <c r="B31" s="42" t="n"/>
      <c r="C31" s="22" t="n"/>
      <c r="D31" s="43" t="n"/>
      <c r="E31" s="17" t="n"/>
      <c r="F31" s="17" t="n"/>
      <c r="G31" s="46">
        <f>IF(D31="","",IF(AND(INT((D31-Week1)/7)+1&gt;=1,INT((D31-Week1)/7)+1&lt;=13),INT((D31-Week1)/7)+1,"Outside the 13 weeks"))</f>
        <v/>
      </c>
      <c r="H31" s="42" t="n"/>
    </row>
    <row r="32">
      <c r="A32" s="42" t="n"/>
      <c r="B32" s="42" t="n"/>
      <c r="C32" s="22" t="n"/>
      <c r="D32" s="43" t="n"/>
      <c r="E32" s="17" t="n"/>
      <c r="F32" s="17" t="n"/>
      <c r="G32" s="46">
        <f>IF(D32="","",IF(AND(INT((D32-Week1)/7)+1&gt;=1,INT((D32-Week1)/7)+1&lt;=13),INT((D32-Week1)/7)+1,"Outside the 13 weeks"))</f>
        <v/>
      </c>
      <c r="H32" s="42" t="n"/>
    </row>
    <row r="33">
      <c r="A33" s="42" t="n"/>
      <c r="B33" s="42" t="n"/>
      <c r="C33" s="22" t="n"/>
      <c r="D33" s="43" t="n"/>
      <c r="E33" s="17" t="n"/>
      <c r="F33" s="17" t="n"/>
      <c r="G33" s="46">
        <f>IF(D33="","",IF(AND(INT((D33-Week1)/7)+1&gt;=1,INT((D33-Week1)/7)+1&lt;=13),INT((D33-Week1)/7)+1,"Outside the 13 weeks"))</f>
        <v/>
      </c>
      <c r="H33" s="42" t="n"/>
    </row>
    <row r="34">
      <c r="A34" s="42" t="n"/>
      <c r="B34" s="42" t="n"/>
      <c r="C34" s="22" t="n"/>
      <c r="D34" s="43" t="n"/>
      <c r="E34" s="17" t="n"/>
      <c r="F34" s="17" t="n"/>
      <c r="G34" s="46">
        <f>IF(D34="","",IF(AND(INT((D34-Week1)/7)+1&gt;=1,INT((D34-Week1)/7)+1&lt;=13),INT((D34-Week1)/7)+1,"Outside the 13 weeks"))</f>
        <v/>
      </c>
      <c r="H34" s="42" t="n"/>
    </row>
    <row r="35">
      <c r="A35" s="42" t="n"/>
      <c r="B35" s="42" t="n"/>
      <c r="C35" s="22" t="n"/>
      <c r="D35" s="43" t="n"/>
      <c r="E35" s="17" t="n"/>
      <c r="F35" s="17" t="n"/>
      <c r="G35" s="46">
        <f>IF(D35="","",IF(AND(INT((D35-Week1)/7)+1&gt;=1,INT((D35-Week1)/7)+1&lt;=13),INT((D35-Week1)/7)+1,"Outside the 13 weeks"))</f>
        <v/>
      </c>
      <c r="H35" s="42" t="n"/>
    </row>
    <row r="36">
      <c r="A36" s="42" t="n"/>
      <c r="B36" s="42" t="n"/>
      <c r="C36" s="22" t="n"/>
      <c r="D36" s="43" t="n"/>
      <c r="E36" s="17" t="n"/>
      <c r="F36" s="17" t="n"/>
      <c r="G36" s="46">
        <f>IF(D36="","",IF(AND(INT((D36-Week1)/7)+1&gt;=1,INT((D36-Week1)/7)+1&lt;=13),INT((D36-Week1)/7)+1,"Outside the 13 weeks"))</f>
        <v/>
      </c>
      <c r="H36" s="42" t="n"/>
    </row>
    <row r="37">
      <c r="A37" s="42" t="n"/>
      <c r="B37" s="42" t="n"/>
      <c r="C37" s="22" t="n"/>
      <c r="D37" s="43" t="n"/>
      <c r="E37" s="17" t="n"/>
      <c r="F37" s="17" t="n"/>
      <c r="G37" s="46">
        <f>IF(D37="","",IF(AND(INT((D37-Week1)/7)+1&gt;=1,INT((D37-Week1)/7)+1&lt;=13),INT((D37-Week1)/7)+1,"Outside the 13 weeks"))</f>
        <v/>
      </c>
      <c r="H37" s="42" t="n"/>
    </row>
    <row r="38">
      <c r="A38" s="42" t="n"/>
      <c r="B38" s="42" t="n"/>
      <c r="C38" s="22" t="n"/>
      <c r="D38" s="43" t="n"/>
      <c r="E38" s="17" t="n"/>
      <c r="F38" s="17" t="n"/>
      <c r="G38" s="46">
        <f>IF(D38="","",IF(AND(INT((D38-Week1)/7)+1&gt;=1,INT((D38-Week1)/7)+1&lt;=13),INT((D38-Week1)/7)+1,"Outside the 13 weeks"))</f>
        <v/>
      </c>
      <c r="H38" s="42" t="n"/>
    </row>
    <row r="39">
      <c r="A39" s="42" t="n"/>
      <c r="B39" s="42" t="n"/>
      <c r="C39" s="22" t="n"/>
      <c r="D39" s="43" t="n"/>
      <c r="E39" s="17" t="n"/>
      <c r="F39" s="17" t="n"/>
      <c r="G39" s="46">
        <f>IF(D39="","",IF(AND(INT((D39-Week1)/7)+1&gt;=1,INT((D39-Week1)/7)+1&lt;=13),INT((D39-Week1)/7)+1,"Outside the 13 weeks"))</f>
        <v/>
      </c>
      <c r="H39" s="42" t="n"/>
    </row>
    <row r="40">
      <c r="A40" s="42" t="n"/>
      <c r="B40" s="42" t="n"/>
      <c r="C40" s="22" t="n"/>
      <c r="D40" s="43" t="n"/>
      <c r="E40" s="17" t="n"/>
      <c r="F40" s="17" t="n"/>
      <c r="G40" s="46">
        <f>IF(D40="","",IF(AND(INT((D40-Week1)/7)+1&gt;=1,INT((D40-Week1)/7)+1&lt;=13),INT((D40-Week1)/7)+1,"Outside the 13 weeks"))</f>
        <v/>
      </c>
      <c r="H40" s="42" t="n"/>
    </row>
    <row r="41">
      <c r="A41" s="42" t="n"/>
      <c r="B41" s="42" t="n"/>
      <c r="C41" s="22" t="n"/>
      <c r="D41" s="43" t="n"/>
      <c r="E41" s="17" t="n"/>
      <c r="F41" s="17" t="n"/>
      <c r="G41" s="46">
        <f>IF(D41="","",IF(AND(INT((D41-Week1)/7)+1&gt;=1,INT((D41-Week1)/7)+1&lt;=13),INT((D41-Week1)/7)+1,"Outside the 13 weeks"))</f>
        <v/>
      </c>
      <c r="H41" s="42" t="n"/>
    </row>
    <row r="42">
      <c r="A42" s="42" t="n"/>
      <c r="B42" s="42" t="n"/>
      <c r="C42" s="22" t="n"/>
      <c r="D42" s="43" t="n"/>
      <c r="E42" s="17" t="n"/>
      <c r="F42" s="17" t="n"/>
      <c r="G42" s="46">
        <f>IF(D42="","",IF(AND(INT((D42-Week1)/7)+1&gt;=1,INT((D42-Week1)/7)+1&lt;=13),INT((D42-Week1)/7)+1,"Outside the 13 weeks"))</f>
        <v/>
      </c>
      <c r="H42" s="42" t="n"/>
    </row>
    <row r="43">
      <c r="A43" s="42" t="n"/>
      <c r="B43" s="42" t="n"/>
      <c r="C43" s="22" t="n"/>
      <c r="D43" s="43" t="n"/>
      <c r="E43" s="17" t="n"/>
      <c r="F43" s="17" t="n"/>
      <c r="G43" s="46">
        <f>IF(D43="","",IF(AND(INT((D43-Week1)/7)+1&gt;=1,INT((D43-Week1)/7)+1&lt;=13),INT((D43-Week1)/7)+1,"Outside the 13 weeks"))</f>
        <v/>
      </c>
      <c r="H43" s="42" t="n"/>
    </row>
    <row r="44">
      <c r="A44" s="42" t="n"/>
      <c r="B44" s="42" t="n"/>
      <c r="C44" s="22" t="n"/>
      <c r="D44" s="43" t="n"/>
      <c r="E44" s="17" t="n"/>
      <c r="F44" s="17" t="n"/>
      <c r="G44" s="46">
        <f>IF(D44="","",IF(AND(INT((D44-Week1)/7)+1&gt;=1,INT((D44-Week1)/7)+1&lt;=13),INT((D44-Week1)/7)+1,"Outside the 13 weeks"))</f>
        <v/>
      </c>
      <c r="H44" s="42" t="n"/>
    </row>
    <row r="45">
      <c r="A45" s="42" t="n"/>
      <c r="B45" s="42" t="n"/>
      <c r="C45" s="22" t="n"/>
      <c r="D45" s="43" t="n"/>
      <c r="E45" s="17" t="n"/>
      <c r="F45" s="17" t="n"/>
      <c r="G45" s="46">
        <f>IF(D45="","",IF(AND(INT((D45-Week1)/7)+1&gt;=1,INT((D45-Week1)/7)+1&lt;=13),INT((D45-Week1)/7)+1,"Outside the 13 weeks"))</f>
        <v/>
      </c>
      <c r="H45" s="42" t="n"/>
    </row>
    <row r="46">
      <c r="A46" s="42" t="n"/>
      <c r="B46" s="42" t="n"/>
      <c r="C46" s="22" t="n"/>
      <c r="D46" s="43" t="n"/>
      <c r="E46" s="17" t="n"/>
      <c r="F46" s="17" t="n"/>
      <c r="G46" s="46">
        <f>IF(D46="","",IF(AND(INT((D46-Week1)/7)+1&gt;=1,INT((D46-Week1)/7)+1&lt;=13),INT((D46-Week1)/7)+1,"Outside the 13 weeks"))</f>
        <v/>
      </c>
      <c r="H46" s="42" t="n"/>
    </row>
    <row r="47">
      <c r="A47" s="42" t="n"/>
      <c r="B47" s="42" t="n"/>
      <c r="C47" s="22" t="n"/>
      <c r="D47" s="43" t="n"/>
      <c r="E47" s="17" t="n"/>
      <c r="F47" s="17" t="n"/>
      <c r="G47" s="46">
        <f>IF(D47="","",IF(AND(INT((D47-Week1)/7)+1&gt;=1,INT((D47-Week1)/7)+1&lt;=13),INT((D47-Week1)/7)+1,"Outside the 13 weeks"))</f>
        <v/>
      </c>
      <c r="H47" s="42" t="n"/>
    </row>
    <row r="48">
      <c r="A48" s="42" t="n"/>
      <c r="B48" s="42" t="n"/>
      <c r="C48" s="22" t="n"/>
      <c r="D48" s="43" t="n"/>
      <c r="E48" s="17" t="n"/>
      <c r="F48" s="17" t="n"/>
      <c r="G48" s="46">
        <f>IF(D48="","",IF(AND(INT((D48-Week1)/7)+1&gt;=1,INT((D48-Week1)/7)+1&lt;=13),INT((D48-Week1)/7)+1,"Outside the 13 weeks"))</f>
        <v/>
      </c>
      <c r="H48" s="42" t="n"/>
    </row>
    <row r="49">
      <c r="A49" s="42" t="n"/>
      <c r="B49" s="42" t="n"/>
      <c r="C49" s="22" t="n"/>
      <c r="D49" s="43" t="n"/>
      <c r="E49" s="17" t="n"/>
      <c r="F49" s="17" t="n"/>
      <c r="G49" s="46">
        <f>IF(D49="","",IF(AND(INT((D49-Week1)/7)+1&gt;=1,INT((D49-Week1)/7)+1&lt;=13),INT((D49-Week1)/7)+1,"Outside the 13 weeks"))</f>
        <v/>
      </c>
      <c r="H49" s="42" t="n"/>
    </row>
    <row r="50">
      <c r="A50" s="42" t="n"/>
      <c r="B50" s="42" t="n"/>
      <c r="C50" s="22" t="n"/>
      <c r="D50" s="43" t="n"/>
      <c r="E50" s="17" t="n"/>
      <c r="F50" s="17" t="n"/>
      <c r="G50" s="46">
        <f>IF(D50="","",IF(AND(INT((D50-Week1)/7)+1&gt;=1,INT((D50-Week1)/7)+1&lt;=13),INT((D50-Week1)/7)+1,"Outside the 13 weeks"))</f>
        <v/>
      </c>
      <c r="H50" s="42" t="n"/>
    </row>
    <row r="51">
      <c r="A51" s="42" t="n"/>
      <c r="B51" s="42" t="n"/>
      <c r="C51" s="22" t="n"/>
      <c r="D51" s="43" t="n"/>
      <c r="E51" s="17" t="n"/>
      <c r="F51" s="17" t="n"/>
      <c r="G51" s="46">
        <f>IF(D51="","",IF(AND(INT((D51-Week1)/7)+1&gt;=1,INT((D51-Week1)/7)+1&lt;=13),INT((D51-Week1)/7)+1,"Outside the 13 weeks"))</f>
        <v/>
      </c>
      <c r="H51" s="42" t="n"/>
    </row>
    <row r="52">
      <c r="A52" s="42" t="n"/>
      <c r="B52" s="42" t="n"/>
      <c r="C52" s="22" t="n"/>
      <c r="D52" s="43" t="n"/>
      <c r="E52" s="17" t="n"/>
      <c r="F52" s="17" t="n"/>
      <c r="G52" s="46">
        <f>IF(D52="","",IF(AND(INT((D52-Week1)/7)+1&gt;=1,INT((D52-Week1)/7)+1&lt;=13),INT((D52-Week1)/7)+1,"Outside the 13 weeks"))</f>
        <v/>
      </c>
      <c r="H52" s="42" t="n"/>
    </row>
    <row r="53">
      <c r="A53" s="42" t="n"/>
      <c r="B53" s="42" t="n"/>
      <c r="C53" s="22" t="n"/>
      <c r="D53" s="43" t="n"/>
      <c r="E53" s="17" t="n"/>
      <c r="F53" s="17" t="n"/>
      <c r="G53" s="46">
        <f>IF(D53="","",IF(AND(INT((D53-Week1)/7)+1&gt;=1,INT((D53-Week1)/7)+1&lt;=13),INT((D53-Week1)/7)+1,"Outside the 13 weeks"))</f>
        <v/>
      </c>
      <c r="H53" s="42" t="n"/>
    </row>
    <row r="54">
      <c r="A54" s="42" t="n"/>
      <c r="B54" s="42" t="n"/>
      <c r="C54" s="22" t="n"/>
      <c r="D54" s="43" t="n"/>
      <c r="E54" s="17" t="n"/>
      <c r="F54" s="17" t="n"/>
      <c r="G54" s="46">
        <f>IF(D54="","",IF(AND(INT((D54-Week1)/7)+1&gt;=1,INT((D54-Week1)/7)+1&lt;=13),INT((D54-Week1)/7)+1,"Outside the 13 weeks"))</f>
        <v/>
      </c>
      <c r="H54" s="42" t="n"/>
    </row>
    <row r="55">
      <c r="A55" s="42" t="n"/>
      <c r="B55" s="42" t="n"/>
      <c r="C55" s="22" t="n"/>
      <c r="D55" s="43" t="n"/>
      <c r="E55" s="17" t="n"/>
      <c r="F55" s="17" t="n"/>
      <c r="G55" s="46">
        <f>IF(D55="","",IF(AND(INT((D55-Week1)/7)+1&gt;=1,INT((D55-Week1)/7)+1&lt;=13),INT((D55-Week1)/7)+1,"Outside the 13 weeks"))</f>
        <v/>
      </c>
      <c r="H55" s="42" t="n"/>
    </row>
    <row r="56">
      <c r="A56" s="42" t="n"/>
      <c r="B56" s="42" t="n"/>
      <c r="C56" s="22" t="n"/>
      <c r="D56" s="43" t="n"/>
      <c r="E56" s="17" t="n"/>
      <c r="F56" s="17" t="n"/>
      <c r="G56" s="46">
        <f>IF(D56="","",IF(AND(INT((D56-Week1)/7)+1&gt;=1,INT((D56-Week1)/7)+1&lt;=13),INT((D56-Week1)/7)+1,"Outside the 13 weeks"))</f>
        <v/>
      </c>
      <c r="H56" s="42" t="n"/>
    </row>
    <row r="57">
      <c r="A57" s="42" t="n"/>
      <c r="B57" s="42" t="n"/>
      <c r="C57" s="22" t="n"/>
      <c r="D57" s="43" t="n"/>
      <c r="E57" s="17" t="n"/>
      <c r="F57" s="17" t="n"/>
      <c r="G57" s="46">
        <f>IF(D57="","",IF(AND(INT((D57-Week1)/7)+1&gt;=1,INT((D57-Week1)/7)+1&lt;=13),INT((D57-Week1)/7)+1,"Outside the 13 weeks"))</f>
        <v/>
      </c>
      <c r="H57" s="42" t="n"/>
    </row>
    <row r="58">
      <c r="A58" s="42" t="n"/>
      <c r="B58" s="42" t="n"/>
      <c r="C58" s="22" t="n"/>
      <c r="D58" s="43" t="n"/>
      <c r="E58" s="17" t="n"/>
      <c r="F58" s="17" t="n"/>
      <c r="G58" s="46">
        <f>IF(D58="","",IF(AND(INT((D58-Week1)/7)+1&gt;=1,INT((D58-Week1)/7)+1&lt;=13),INT((D58-Week1)/7)+1,"Outside the 13 weeks"))</f>
        <v/>
      </c>
      <c r="H58" s="42" t="n"/>
    </row>
    <row r="59">
      <c r="A59" s="42" t="n"/>
      <c r="B59" s="42" t="n"/>
      <c r="C59" s="22" t="n"/>
      <c r="D59" s="43" t="n"/>
      <c r="E59" s="17" t="n"/>
      <c r="F59" s="17" t="n"/>
      <c r="G59" s="46">
        <f>IF(D59="","",IF(AND(INT((D59-Week1)/7)+1&gt;=1,INT((D59-Week1)/7)+1&lt;=13),INT((D59-Week1)/7)+1,"Outside the 13 weeks"))</f>
        <v/>
      </c>
      <c r="H59" s="42" t="n"/>
    </row>
    <row r="60">
      <c r="A60" s="23" t="inlineStr">
        <is>
          <t>TOTAL COMMITMENTS LISTED</t>
        </is>
      </c>
      <c r="B60" s="24" t="inlineStr"/>
      <c r="C60" s="24">
        <f>SUM(C10:C59)</f>
        <v/>
      </c>
      <c r="D60" s="24" t="inlineStr"/>
      <c r="E60" s="24" t="inlineStr"/>
      <c r="F60" s="24" t="inlineStr"/>
      <c r="G60" s="24" t="inlineStr"/>
      <c r="H60" s="24" t="inlineStr"/>
    </row>
    <row r="61" ht="22" customHeight="1">
      <c r="A61" s="6" t="inlineStr">
        <is>
          <t>Note: Anything dated before week 1 or after week 13 says Outside the 13 weeks and is left out of the forecast on purpose.</t>
        </is>
      </c>
    </row>
    <row r="62" ht="34" customHeight="1">
      <c r="A62" s="6" t="inlineStr">
        <is>
          <t>Warning: a due date that falls on a weekend or a public holiday turns amber above. An EFT you initiate for a public holiday will not clear that day and a debit order will not go off, so the money moves on the next business day, which can push it into the following week of your forecast. The Public holidays sheet will tell you which day that is.</t>
        </is>
      </c>
    </row>
    <row r="63" ht="22" customHeight="1">
      <c r="A63" s="21" t="inlineStr">
        <is>
          <t>DEBIT ORDERS AT A GLANCE</t>
        </is>
      </c>
      <c r="B63" s="21" t="n"/>
      <c r="C63" s="21" t="n"/>
      <c r="D63" s="21" t="n"/>
      <c r="E63" s="21" t="n"/>
      <c r="F63" s="21" t="n"/>
      <c r="G63" s="21" t="n"/>
      <c r="H63" s="21" t="n"/>
    </row>
    <row r="64" ht="25" customHeight="1">
      <c r="A64" s="37" t="inlineStr">
        <is>
          <t>How many debit orders</t>
        </is>
      </c>
      <c r="B64" s="47">
        <f>COUNTIF(OutType,"Debit order")</f>
        <v/>
      </c>
      <c r="C64" s="6" t="inlineStr">
        <is>
          <t>A debit order that bounces costs you a fee and damages the banking relationship you will need later.</t>
        </is>
      </c>
    </row>
    <row r="65">
      <c r="A65" s="37" t="inlineStr">
        <is>
          <t>Total value of the debit orders listed</t>
        </is>
      </c>
      <c r="B65" s="12">
        <f>SUMIF(OutType,"Debit order",OutAmt)</f>
        <v/>
      </c>
      <c r="C65" s="6" t="inlineStr">
        <is>
          <t>Money that leaves without anyone pressing a button.</t>
        </is>
      </c>
    </row>
    <row r="66">
      <c r="A66" s="37" t="inlineStr">
        <is>
          <t>Largest single debit order</t>
        </is>
      </c>
      <c r="B66" s="12">
        <f>IF(COUNTIF(OutType,"Debit order")=0,0,SUMPRODUCT(MAX((OutType="Debit order")*OutAmt)))</f>
        <v/>
      </c>
      <c r="C66" s="6" t="inlineStr">
        <is>
          <t>The one to move first if a week goes red.</t>
        </is>
      </c>
    </row>
    <row r="67" ht="30" customHeight="1">
      <c r="A67" s="41">
        <f>IF(COUNTIF(OutType,"Debit order")=0,"You have not marked anything as a debit order yet. Go through the bank statement line by line: most businesses are paying for at least one thing they forgot about.","You have "&amp;COUNTIF(OutType,"Debit order")&amp;" debit orders worth "&amp;TEXT(SUMIF(OutType,"Debit order",OutAmt),"""R"" #,##0.00")&amp;" in this window. They come off first, whatever else is happening, so a week that looks tight on the forecast is tighter than it looks.")</f>
        <v/>
      </c>
      <c r="B67" s="35" t="n"/>
      <c r="C67" s="35" t="n"/>
      <c r="D67" s="35" t="n"/>
      <c r="E67" s="35" t="n"/>
      <c r="F67" s="35" t="n"/>
      <c r="G67" s="35" t="n"/>
      <c r="H67" s="35" t="n"/>
    </row>
    <row r="68"/>
    <row r="69" ht="22" customHeight="1">
      <c r="A69" s="7" t="inlineStr">
        <is>
          <t>THE STATUTORY CALENDAR</t>
        </is>
      </c>
      <c r="B69" s="7" t="n"/>
      <c r="C69" s="7" t="n"/>
      <c r="D69" s="7" t="n"/>
      <c r="E69" s="7" t="n"/>
      <c r="F69" s="7" t="n"/>
      <c r="G69" s="7" t="n"/>
      <c r="H69" s="7" t="n"/>
    </row>
    <row r="70" ht="46" customHeight="1">
      <c r="A70" s="6" t="inlineStr">
        <is>
          <t>Note: SARS deadlines move backwards off a non business day, never forwards. Saturdays, Sundays and public holidays all count, because section 3 of the Public Holidays Act 36 of 1994 makes Sundays and public holidays non business days and the payment system treats them the same way. These dates are worked out off the Public holidays sheet, which you can edit, and they walk back over a run of non business days rather than only one. Christmas Day 2026 is a Friday, so a deadline landing there is due on Thursday 24 December.</t>
        </is>
      </c>
    </row>
    <row r="71" ht="19" customHeight="1">
      <c r="A71" s="48" t="inlineStr">
        <is>
          <t>EMP201: PAYE, UIF AND SDL</t>
        </is>
      </c>
      <c r="B71" s="48" t="n"/>
      <c r="C71" s="48" t="n"/>
      <c r="D71" s="48" t="n"/>
      <c r="E71" s="48" t="n"/>
      <c r="F71" s="48" t="n"/>
      <c r="G71" s="48" t="n"/>
      <c r="H71" s="48" t="n"/>
    </row>
    <row r="72" ht="30" customHeight="1">
      <c r="A72" s="13" t="inlineStr">
        <is>
          <t>PAYROLL MONTH</t>
        </is>
      </c>
      <c r="B72" s="13" t="inlineStr">
        <is>
          <t>AMOUNT YOU WILL PAY</t>
        </is>
      </c>
      <c r="C72" s="13" t="inlineStr">
        <is>
          <t>DUE DATE, MOVED BACK TO A BUSINESS DAY</t>
        </is>
      </c>
      <c r="D72" s="13" t="inlineStr">
        <is>
          <t>WEEK NUMBER</t>
        </is>
      </c>
      <c r="E72" s="13" t="inlineStr">
        <is>
          <t>WHAT THIS IS</t>
        </is>
      </c>
      <c r="F72" s="13" t="inlineStr"/>
      <c r="G72" s="13" t="inlineStr"/>
      <c r="H72" s="13" t="inlineStr"/>
    </row>
    <row r="73" ht="25" customHeight="1">
      <c r="A73" s="49">
        <f>IF(Week1="","",EDATE(DATE(YEAR(Week1),MONTH(Week1),1),-1))</f>
        <v/>
      </c>
      <c r="B73" s="22" t="n"/>
      <c r="C73" s="16">
        <f>IF(A73="","",WORKDAY(DATE(YEAR(A73),MONTH(A73)+1,7)+1,-1,Holidays))</f>
        <v/>
      </c>
      <c r="D73" s="46">
        <f>IF(C73="","",IF(AND(INT((C73-Week1)/7)+1&gt;=1,INT((C73-Week1)/7)+1&lt;=13),INT((C73-Week1)/7)+1,"Outside the 13 weeks"))</f>
        <v/>
      </c>
      <c r="E73" s="6" t="inlineStr">
        <is>
          <t>Due 7 days after the end of this payroll month, on one EMP201 covering PAYE, UIF and SDL together, moved back to a business day where it has to be.</t>
        </is>
      </c>
    </row>
    <row r="74" ht="25" customHeight="1">
      <c r="A74" s="49">
        <f>IF(A73="","",EDATE(A73,1))</f>
        <v/>
      </c>
      <c r="B74" s="22" t="n"/>
      <c r="C74" s="16">
        <f>IF(A74="","",WORKDAY(DATE(YEAR(A74),MONTH(A74)+1,7)+1,-1,Holidays))</f>
        <v/>
      </c>
      <c r="D74" s="46">
        <f>IF(C74="","",IF(AND(INT((C74-Week1)/7)+1&gt;=1,INT((C74-Week1)/7)+1&lt;=13),INT((C74-Week1)/7)+1,"Outside the 13 weeks"))</f>
        <v/>
      </c>
      <c r="E74" s="6" t="inlineStr">
        <is>
          <t>Due 7 days after the end of this payroll month, on one EMP201 covering PAYE, UIF and SDL together, moved back to a business day where it has to be.</t>
        </is>
      </c>
    </row>
    <row r="75" ht="25" customHeight="1">
      <c r="A75" s="49">
        <f>IF(A74="","",EDATE(A74,1))</f>
        <v/>
      </c>
      <c r="B75" s="22" t="n"/>
      <c r="C75" s="16">
        <f>IF(A75="","",WORKDAY(DATE(YEAR(A75),MONTH(A75)+1,7)+1,-1,Holidays))</f>
        <v/>
      </c>
      <c r="D75" s="46">
        <f>IF(C75="","",IF(AND(INT((C75-Week1)/7)+1&gt;=1,INT((C75-Week1)/7)+1&lt;=13),INT((C75-Week1)/7)+1,"Outside the 13 weeks"))</f>
        <v/>
      </c>
      <c r="E75" s="6" t="inlineStr">
        <is>
          <t>Due 7 days after the end of this payroll month, on one EMP201 covering PAYE, UIF and SDL together, moved back to a business day where it has to be.</t>
        </is>
      </c>
    </row>
    <row r="76" ht="25" customHeight="1">
      <c r="A76" s="49">
        <f>IF(A75="","",EDATE(A75,1))</f>
        <v/>
      </c>
      <c r="B76" s="22" t="n"/>
      <c r="C76" s="16">
        <f>IF(A76="","",WORKDAY(DATE(YEAR(A76),MONTH(A76)+1,7)+1,-1,Holidays))</f>
        <v/>
      </c>
      <c r="D76" s="46">
        <f>IF(C76="","",IF(AND(INT((C76-Week1)/7)+1&gt;=1,INT((C76-Week1)/7)+1&lt;=13),INT((C76-Week1)/7)+1,"Outside the 13 weeks"))</f>
        <v/>
      </c>
      <c r="E76" s="6" t="inlineStr">
        <is>
          <t>Due 7 days after the end of this payroll month, on one EMP201 covering PAYE, UIF and SDL together, moved back to a business day where it has to be.</t>
        </is>
      </c>
    </row>
    <row r="77" ht="25" customHeight="1">
      <c r="A77" s="49">
        <f>IF(A76="","",EDATE(A76,1))</f>
        <v/>
      </c>
      <c r="B77" s="22" t="n"/>
      <c r="C77" s="16">
        <f>IF(A77="","",WORKDAY(DATE(YEAR(A77),MONTH(A77)+1,7)+1,-1,Holidays))</f>
        <v/>
      </c>
      <c r="D77" s="46">
        <f>IF(C77="","",IF(AND(INT((C77-Week1)/7)+1&gt;=1,INT((C77-Week1)/7)+1&lt;=13),INT((C77-Week1)/7)+1,"Outside the 13 weeks"))</f>
        <v/>
      </c>
      <c r="E77" s="6" t="inlineStr">
        <is>
          <t>Due 7 days after the end of this payroll month, on one EMP201 covering PAYE, UIF and SDL together, moved back to a business day where it has to be.</t>
        </is>
      </c>
    </row>
    <row r="78"/>
    <row r="79" ht="19" customHeight="1">
      <c r="A79" s="48" t="inlineStr">
        <is>
          <t>VAT201</t>
        </is>
      </c>
      <c r="B79" s="48" t="n"/>
      <c r="C79" s="48" t="n"/>
      <c r="D79" s="48" t="n"/>
      <c r="E79" s="48" t="n"/>
      <c r="F79" s="48" t="n"/>
      <c r="G79" s="48" t="n"/>
      <c r="H79" s="48" t="n"/>
    </row>
    <row r="80" ht="25" customHeight="1">
      <c r="A80" s="37" t="inlineStr">
        <is>
          <t>Your VAT category</t>
        </is>
      </c>
      <c r="B80" s="50" t="inlineStr">
        <is>
          <t>A, two monthly, periods end in odd months</t>
        </is>
      </c>
      <c r="C80" s="35" t="n"/>
      <c r="D80" s="35" t="n"/>
      <c r="E80" s="6" t="inlineStr">
        <is>
          <t>SARS allocates category A or B. Category C is monthly and is compulsory above R 30 000 000 of taxable supplies in any 12 months.</t>
        </is>
      </c>
    </row>
    <row r="81" ht="30" customHeight="1">
      <c r="A81" s="13" t="inlineStr">
        <is>
          <t>VAT PERIOD ENDS</t>
        </is>
      </c>
      <c r="B81" s="13" t="inlineStr">
        <is>
          <t>ONE OF YOUR PERIODS</t>
        </is>
      </c>
      <c r="C81" s="13" t="inlineStr">
        <is>
          <t>AMOUNT YOU WILL PAY</t>
        </is>
      </c>
      <c r="D81" s="13" t="inlineStr">
        <is>
          <t>DUE DATE ON EFILING</t>
        </is>
      </c>
      <c r="E81" s="13" t="inlineStr">
        <is>
          <t>WEEK NUMBER</t>
        </is>
      </c>
      <c r="F81" s="13" t="inlineStr">
        <is>
          <t>WHAT THIS IS</t>
        </is>
      </c>
      <c r="G81" s="13" t="inlineStr"/>
      <c r="H81" s="13" t="inlineStr"/>
    </row>
    <row r="82">
      <c r="A82" s="16">
        <f>IF(Week1="","",EOMONTH(Week1,-1))</f>
        <v/>
      </c>
      <c r="B82" s="46">
        <f>IF(A82="","",IF(VatCategory="C, monthly","Yes",IF(VatCategory="A, two monthly, periods end in odd months",IF(MOD(MONTH(A82),2)=1,"Yes","No"),IF(MOD(MONTH(A82),2)=0,"Yes","No"))))</f>
        <v/>
      </c>
      <c r="C82" s="22" t="n"/>
      <c r="D82" s="16">
        <f>IF(B82&lt;&gt;"Yes","",WORKDAY(EOMONTH(A82,1)+1,-1,Holidays))</f>
        <v/>
      </c>
      <c r="E82" s="46">
        <f>IF(D82="","",IF(AND(INT((D82-Week1)/7)+1&gt;=1,INT((D82-Week1)/7)+1&lt;=13),INT((D82-Week1)/7)+1,"Outside the 13 weeks"))</f>
        <v/>
      </c>
      <c r="F82" s="6" t="inlineStr">
        <is>
          <t>Last business day of the month after the period ends.</t>
        </is>
      </c>
    </row>
    <row r="83">
      <c r="A83" s="16">
        <f>IF(A82="","",EOMONTH(A82,1))</f>
        <v/>
      </c>
      <c r="B83" s="46">
        <f>IF(A83="","",IF(VatCategory="C, monthly","Yes",IF(VatCategory="A, two monthly, periods end in odd months",IF(MOD(MONTH(A83),2)=1,"Yes","No"),IF(MOD(MONTH(A83),2)=0,"Yes","No"))))</f>
        <v/>
      </c>
      <c r="C83" s="22" t="n"/>
      <c r="D83" s="16">
        <f>IF(B83&lt;&gt;"Yes","",WORKDAY(EOMONTH(A83,1)+1,-1,Holidays))</f>
        <v/>
      </c>
      <c r="E83" s="46">
        <f>IF(D83="","",IF(AND(INT((D83-Week1)/7)+1&gt;=1,INT((D83-Week1)/7)+1&lt;=13),INT((D83-Week1)/7)+1,"Outside the 13 weeks"))</f>
        <v/>
      </c>
      <c r="F83" s="6" t="inlineStr">
        <is>
          <t>Last business day of the month after the period ends.</t>
        </is>
      </c>
    </row>
    <row r="84">
      <c r="A84" s="16">
        <f>IF(A83="","",EOMONTH(A83,1))</f>
        <v/>
      </c>
      <c r="B84" s="46">
        <f>IF(A84="","",IF(VatCategory="C, monthly","Yes",IF(VatCategory="A, two monthly, periods end in odd months",IF(MOD(MONTH(A84),2)=1,"Yes","No"),IF(MOD(MONTH(A84),2)=0,"Yes","No"))))</f>
        <v/>
      </c>
      <c r="C84" s="22" t="n"/>
      <c r="D84" s="16">
        <f>IF(B84&lt;&gt;"Yes","",WORKDAY(EOMONTH(A84,1)+1,-1,Holidays))</f>
        <v/>
      </c>
      <c r="E84" s="46">
        <f>IF(D84="","",IF(AND(INT((D84-Week1)/7)+1&gt;=1,INT((D84-Week1)/7)+1&lt;=13),INT((D84-Week1)/7)+1,"Outside the 13 weeks"))</f>
        <v/>
      </c>
      <c r="F84" s="6" t="inlineStr">
        <is>
          <t>Last business day of the month after the period ends.</t>
        </is>
      </c>
    </row>
    <row r="85">
      <c r="A85" s="16">
        <f>IF(A84="","",EOMONTH(A84,1))</f>
        <v/>
      </c>
      <c r="B85" s="46">
        <f>IF(A85="","",IF(VatCategory="C, monthly","Yes",IF(VatCategory="A, two monthly, periods end in odd months",IF(MOD(MONTH(A85),2)=1,"Yes","No"),IF(MOD(MONTH(A85),2)=0,"Yes","No"))))</f>
        <v/>
      </c>
      <c r="C85" s="22" t="n"/>
      <c r="D85" s="16">
        <f>IF(B85&lt;&gt;"Yes","",WORKDAY(EOMONTH(A85,1)+1,-1,Holidays))</f>
        <v/>
      </c>
      <c r="E85" s="46">
        <f>IF(D85="","",IF(AND(INT((D85-Week1)/7)+1&gt;=1,INT((D85-Week1)/7)+1&lt;=13),INT((D85-Week1)/7)+1,"Outside the 13 weeks"))</f>
        <v/>
      </c>
      <c r="F85" s="6" t="inlineStr">
        <is>
          <t>Last business day of the month after the period ends.</t>
        </is>
      </c>
    </row>
    <row r="86">
      <c r="A86" s="16">
        <f>IF(A85="","",EOMONTH(A85,1))</f>
        <v/>
      </c>
      <c r="B86" s="46">
        <f>IF(A86="","",IF(VatCategory="C, monthly","Yes",IF(VatCategory="A, two monthly, periods end in odd months",IF(MOD(MONTH(A86),2)=1,"Yes","No"),IF(MOD(MONTH(A86),2)=0,"Yes","No"))))</f>
        <v/>
      </c>
      <c r="C86" s="22" t="n"/>
      <c r="D86" s="16">
        <f>IF(B86&lt;&gt;"Yes","",WORKDAY(EOMONTH(A86,1)+1,-1,Holidays))</f>
        <v/>
      </c>
      <c r="E86" s="46">
        <f>IF(D86="","",IF(AND(INT((D86-Week1)/7)+1&gt;=1,INT((D86-Week1)/7)+1&lt;=13),INT((D86-Week1)/7)+1,"Outside the 13 weeks"))</f>
        <v/>
      </c>
      <c r="F86" s="6" t="inlineStr">
        <is>
          <t>Last business day of the month after the period ends.</t>
        </is>
      </c>
    </row>
    <row r="87" ht="30" customHeight="1">
      <c r="A87" s="6" t="inlineStr">
        <is>
          <t>Note: eFiling buys you time for free. Filing and paying electronically moves the deadline from the 25th of the following month to the last business day of that month. Both the return and the payment must be in by the date that applies to you.</t>
        </is>
      </c>
    </row>
    <row r="88"/>
    <row r="89" ht="19" customHeight="1">
      <c r="A89" s="48" t="inlineStr">
        <is>
          <t>PROVISIONAL TAX</t>
        </is>
      </c>
      <c r="B89" s="48" t="n"/>
      <c r="C89" s="48" t="n"/>
      <c r="D89" s="48" t="n"/>
      <c r="E89" s="48" t="n"/>
      <c r="F89" s="48" t="n"/>
      <c r="G89" s="48" t="n"/>
      <c r="H89" s="48" t="n"/>
    </row>
    <row r="90" ht="30" customHeight="1">
      <c r="A90" s="13" t="inlineStr">
        <is>
          <t>PAYMENT</t>
        </is>
      </c>
      <c r="B90" s="13" t="inlineStr">
        <is>
          <t>AMOUNT YOU WILL PAY</t>
        </is>
      </c>
      <c r="C90" s="13" t="inlineStr">
        <is>
          <t>STATUTORY DATE</t>
        </is>
      </c>
      <c r="D90" s="13" t="inlineStr">
        <is>
          <t>PAY BY, MOVED BACK TO A BUSINESS DAY</t>
        </is>
      </c>
      <c r="E90" s="13" t="inlineStr">
        <is>
          <t>WEEK NUMBER</t>
        </is>
      </c>
      <c r="F90" s="13" t="inlineStr">
        <is>
          <t>WHAT THIS IS</t>
        </is>
      </c>
      <c r="G90" s="13" t="inlineStr"/>
      <c r="H90" s="13" t="inlineStr"/>
    </row>
    <row r="91">
      <c r="A91" s="20" t="inlineStr">
        <is>
          <t>First provisional payment</t>
        </is>
      </c>
      <c r="B91" s="22" t="n"/>
      <c r="C91" s="16">
        <f>IF(Week1="","",IF(DATE(YEAR(Week1),8,31)&gt;=Week1,DATE(YEAR(Week1),8,31),DATE(YEAR(Week1)+1,8,31)))</f>
        <v/>
      </c>
      <c r="D91" s="16">
        <f>IF(C91="","",WORKDAY(C91+1,-1,Holidays))</f>
        <v/>
      </c>
      <c r="E91" s="46">
        <f>IF(D91="","",IF(AND(INT((D91-Week1)/7)+1&gt;=1,INT((D91-Week1)/7)+1&lt;=13),INT((D91-Week1)/7)+1,"Outside the 13 weeks"))</f>
        <v/>
      </c>
      <c r="F91" s="6" t="inlineStr">
        <is>
          <t>Due 31 August, halfway through a February year end.</t>
        </is>
      </c>
    </row>
    <row r="92">
      <c r="A92" s="20" t="inlineStr">
        <is>
          <t>Second provisional payment</t>
        </is>
      </c>
      <c r="B92" s="22" t="n"/>
      <c r="C92" s="16">
        <f>IF(Week1="","",IF(EOMONTH(DATE(YEAR(Week1),2,1),0)&gt;=Week1,EOMONTH(DATE(YEAR(Week1),2,1),0),EOMONTH(DATE(YEAR(Week1)+1,2,1),0)))</f>
        <v/>
      </c>
      <c r="D92" s="16">
        <f>IF(C92="","",WORKDAY(C92+1,-1,Holidays))</f>
        <v/>
      </c>
      <c r="E92" s="46">
        <f>IF(D92="","",IF(AND(INT((D92-Week1)/7)+1&gt;=1,INT((D92-Week1)/7)+1&lt;=13),INT((D92-Week1)/7)+1,"Outside the 13 weeks"))</f>
        <v/>
      </c>
      <c r="F92" s="6" t="inlineStr">
        <is>
          <t>Due the last day of February, which is the year end itself.</t>
        </is>
      </c>
    </row>
    <row r="93"/>
    <row r="94" ht="26" customHeight="1">
      <c r="A94" s="6" t="inlineStr">
        <is>
          <t>Note: Only the rows with a week number between 1 and 13 reach the forecast. The rest are there so you can see what is coming next.</t>
        </is>
      </c>
    </row>
    <row r="95" ht="26" customHeight="1">
      <c r="A95" s="6" t="inlineStr">
        <is>
          <t>Note: File the return even in a month you cannot pay. Late payment of PAYE carries a once off 10 percent penalty plus interest, and late payment of VAT the same, but not filing at all lets SARS raise an estimated assessment on top. The two are separate.</t>
        </is>
      </c>
    </row>
    <row r="96" ht="26" customHeight="1">
      <c r="A96" s="6" t="inlineStr">
        <is>
          <t>Note: rates, thresholds and fees quoted in this template were correct at 10 August 2026. Check the current figures on sars.gov.za before you rely on them.</t>
        </is>
      </c>
    </row>
    <row r="97" ht="26" customHeight="1">
      <c r="A97" s="6" t="inlineStr">
        <is>
          <t>Note: this template is a tool, not financial or legal advice for your particular situation. Speak to your accountant before you act on a number that matters.</t>
        </is>
      </c>
    </row>
  </sheetData>
  <mergeCells count="29">
    <mergeCell ref="C65:H65"/>
    <mergeCell ref="A67:H67"/>
    <mergeCell ref="F85:H85"/>
    <mergeCell ref="E76:H76"/>
    <mergeCell ref="A1:H1"/>
    <mergeCell ref="A94:H94"/>
    <mergeCell ref="F91:H91"/>
    <mergeCell ref="A61:H61"/>
    <mergeCell ref="E75:H75"/>
    <mergeCell ref="A70:H70"/>
    <mergeCell ref="A87:H87"/>
    <mergeCell ref="A7:H7"/>
    <mergeCell ref="F92:H92"/>
    <mergeCell ref="B80:D80"/>
    <mergeCell ref="F82:H82"/>
    <mergeCell ref="C66:H66"/>
    <mergeCell ref="A95:H95"/>
    <mergeCell ref="A2:H2"/>
    <mergeCell ref="E73:H73"/>
    <mergeCell ref="E77:H77"/>
    <mergeCell ref="A97:H97"/>
    <mergeCell ref="A62:H62"/>
    <mergeCell ref="F83:H83"/>
    <mergeCell ref="A96:H96"/>
    <mergeCell ref="E74:H74"/>
    <mergeCell ref="F84:H84"/>
    <mergeCell ref="C64:H64"/>
    <mergeCell ref="E80:H80"/>
    <mergeCell ref="F86:H86"/>
  </mergeCells>
  <conditionalFormatting sqref="D10:D59">
    <cfRule type="expression" priority="1" dxfId="1" stopIfTrue="0">
      <formula>AND(D10&lt;&gt;"",OR(WEEKDAY(D10,2)&gt;5,COUNTIF(Holidays,D10)&gt;0))</formula>
    </cfRule>
  </conditionalFormatting>
  <conditionalFormatting sqref="E10:E59">
    <cfRule type="expression" priority="2" dxfId="3" stopIfTrue="0">
      <formula>E10="Debit order"</formula>
    </cfRule>
  </conditionalFormatting>
  <conditionalFormatting sqref="G10:G59">
    <cfRule type="expression" priority="3" dxfId="1" stopIfTrue="1">
      <formula>G10="Outside the 13 weeks"</formula>
    </cfRule>
    <cfRule type="expression" priority="4" dxfId="2" stopIfTrue="0">
      <formula>ISNUMBER(G10)</formula>
    </cfRule>
  </conditionalFormatting>
  <conditionalFormatting sqref="D73:D77">
    <cfRule type="expression" priority="5" dxfId="2" stopIfTrue="1">
      <formula>ISNUMBER(D73)</formula>
    </cfRule>
    <cfRule type="expression" priority="6" dxfId="1" stopIfTrue="0">
      <formula>D73="Outside the 13 weeks"</formula>
    </cfRule>
  </conditionalFormatting>
  <conditionalFormatting sqref="E82:E86">
    <cfRule type="expression" priority="7" dxfId="2" stopIfTrue="1">
      <formula>ISNUMBER(E82)</formula>
    </cfRule>
    <cfRule type="expression" priority="8" dxfId="1" stopIfTrue="0">
      <formula>E82="Outside the 13 weeks"</formula>
    </cfRule>
  </conditionalFormatting>
  <conditionalFormatting sqref="E91:E92">
    <cfRule type="expression" priority="9" dxfId="0" stopIfTrue="1">
      <formula>ISNUMBER(E91)</formula>
    </cfRule>
    <cfRule type="expression" priority="10" dxfId="2" stopIfTrue="0">
      <formula>E91="Outside the 13 weeks"</formula>
    </cfRule>
  </conditionalFormatting>
  <dataValidations count="3">
    <dataValidation sqref="E10:E59" showDropDown="0" showInputMessage="0" showErrorMessage="0" allowBlank="1" type="list">
      <formula1>"Debit order,EFT,Cash,Card"</formula1>
    </dataValidation>
    <dataValidation sqref="F10:F59" showDropDown="0" showInputMessage="0" showErrorMessage="0" allowBlank="1" type="list">
      <formula1>"Fixed,Variable"</formula1>
    </dataValidation>
    <dataValidation sqref="B80" showDropDown="0" showInputMessage="0" showErrorMessage="0" allowBlank="1" type="list">
      <formula1>"A, two monthly, periods end in odd months,B, two monthly, periods end in even months,C, monthly"</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74"/>
  <sheetViews>
    <sheetView showGridLines="0" workbookViewId="0">
      <pane ySplit="23" topLeftCell="A24" activePane="bottomLeft" state="frozen"/>
      <selection pane="bottomLeft" activeCell="A1" sqref="A1"/>
    </sheetView>
  </sheetViews>
  <sheetFormatPr baseColWidth="8" defaultRowHeight="15"/>
  <cols>
    <col width="30" customWidth="1" min="1" max="1"/>
    <col width="15" customWidth="1" min="2" max="2"/>
    <col width="13" customWidth="1" min="3" max="3"/>
    <col width="14" customWidth="1" min="4" max="4"/>
    <col width="15" customWidth="1" min="5" max="5"/>
    <col width="20" customWidth="1" min="6" max="6"/>
    <col width="60" customWidth="1" min="7" max="7"/>
  </cols>
  <sheetData>
    <row r="1" ht="26" customHeight="1">
      <c r="A1" s="1" t="inlineStr">
        <is>
          <t>PUBLIC HOLIDAYS</t>
        </is>
      </c>
    </row>
    <row r="2" ht="14" customHeight="1">
      <c r="A2" s="2" t="inlineStr">
        <is>
          <t>The days the banks are shut, which is what decides whether a SARS deadline moves. Edit this table and every due date in the workbook moves with it.</t>
        </is>
      </c>
    </row>
    <row r="3" ht="4" customHeight="1"/>
    <row r="4" ht="15" customHeight="1">
      <c r="A4" s="3" t="inlineStr">
        <is>
          <t>[YOUR COMPANY NAME]</t>
        </is>
      </c>
      <c r="G4" s="4" t="inlineStr">
        <is>
          <t>[ Insert your logo in the space above ]</t>
        </is>
      </c>
    </row>
    <row r="5" ht="15" customHeight="1">
      <c r="A5" s="5" t="inlineStr">
        <is>
          <t>Reg No: [XXXX/XXXXXX/XX]</t>
        </is>
      </c>
      <c r="G5" s="4" t="inlineStr">
        <is>
          <t>VAT No: [4XXXXXXXXX] (if VAT registered)</t>
        </is>
      </c>
    </row>
    <row r="6" ht="15" customHeight="1">
      <c r="A6" s="5" t="inlineStr">
        <is>
          <t>[email@yourbusiness.co.za]</t>
        </is>
      </c>
      <c r="G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WHY THIS TABLE MATTERS</t>
        </is>
      </c>
      <c r="B8" s="7" t="n"/>
      <c r="C8" s="7" t="n"/>
      <c r="D8" s="7" t="n"/>
      <c r="E8" s="7" t="n"/>
      <c r="F8" s="7" t="n"/>
      <c r="G8" s="7" t="n"/>
    </row>
    <row r="9" ht="32" customHeight="1">
      <c r="A9" s="6" t="inlineStr">
        <is>
          <t>Note: Section 3 of the Public Holidays Act 36 of 1994 makes Sundays and public holidays non business days, and the banking and payment system treats them the same way. A SARS deadline landing on one moves backwards, to the last business day before it, never forwards.</t>
        </is>
      </c>
    </row>
    <row r="10" ht="32" customHeight="1">
      <c r="A10" s="6" t="inlineStr">
        <is>
          <t>Note: Section 2(1) of the Act: whenever a public holiday falls on a Sunday, the following Monday is also a public holiday. It applies to every holiday with no carve out, it is automatic, and the Monday is an additional day rather than a substitute, so both days are holidays. The sheet works these Mondays out for you in the last column. The rule can never operate for Good Friday or Family Day, because one is always a Friday and the other always a Monday.</t>
        </is>
      </c>
    </row>
    <row r="11" ht="32" customHeight="1">
      <c r="A11" s="6" t="inlineStr">
        <is>
          <t>Note: Section 2A lets the President declare an additional once off holiday by proclamation. Election days are customarily declared. Those days cannot be known in advance, so add them at the bottom of the table as they are gazetted.</t>
        </is>
      </c>
    </row>
    <row r="12" ht="32" customHeight="1">
      <c r="A12" s="6" t="inlineStr">
        <is>
          <t>Warning: an EFT you initiate for a public holiday will not clear that day. Neither will a debit order go off. The money moves on the next business day, which can push it into the following week of your forecast.</t>
        </is>
      </c>
    </row>
    <row r="13" ht="32" customHeight="1">
      <c r="A13" s="6" t="inlineStr">
        <is>
          <t>Note: Watch March 2027. It carries four public holidays in nine days, on the 21st, the 22nd, the 26th and the 29th. Anyone forecasting into that quarter has fewer trading days and fewer banking days than the calendar suggests, and collections slow down accordingly.</t>
        </is>
      </c>
    </row>
    <row r="14"/>
    <row r="15" ht="22" customHeight="1">
      <c r="A15" s="7" t="inlineStr">
        <is>
          <t>CHECK A DATE</t>
        </is>
      </c>
      <c r="B15" s="7" t="n"/>
      <c r="C15" s="7" t="n"/>
      <c r="D15" s="7" t="n"/>
      <c r="E15" s="7" t="n"/>
      <c r="F15" s="7" t="n"/>
      <c r="G15" s="7" t="n"/>
    </row>
    <row r="16">
      <c r="A16" s="37" t="inlineStr">
        <is>
          <t>A date you want to check</t>
        </is>
      </c>
      <c r="B16" s="9" t="n"/>
      <c r="C16" s="6" t="inlineStr">
        <is>
          <t>Type any date. Useful before you promise a supplier that a payment will reflect.</t>
        </is>
      </c>
    </row>
    <row r="17">
      <c r="A17" s="37" t="inlineStr">
        <is>
          <t>That day is a</t>
        </is>
      </c>
      <c r="B17" s="51">
        <f>IF(CheckDate="","",CheckDate)</f>
        <v/>
      </c>
      <c r="C17" s="39">
        <f>IF(CheckDate="","",IF(AND(WEEKDAY(CheckDate,2)&gt;5,COUNTIF(Holidays,CheckDate)&gt;0),"Weekend and public holiday",IF(WEEKDAY(CheckDate,2)&gt;5,"Weekend",IF(COUNTIF(Holidays,CheckDate)&gt;0,"Public holiday","Business day"))))</f>
        <v/>
      </c>
      <c r="D17" s="35" t="n"/>
      <c r="E17" s="6" t="inlineStr">
        <is>
          <t>Worked out from the table below.</t>
        </is>
      </c>
    </row>
    <row r="18">
      <c r="A18" s="37" t="inlineStr">
        <is>
          <t>Last business day on or before it</t>
        </is>
      </c>
      <c r="B18" s="52">
        <f>IF(CheckDate="","",WORKDAY(CheckDate+1,-1,Holidays))</f>
        <v/>
      </c>
      <c r="C18" s="6" t="inlineStr">
        <is>
          <t>This is the rule SARS applies to a deadline.</t>
        </is>
      </c>
    </row>
    <row r="19">
      <c r="A19" s="37" t="inlineStr">
        <is>
          <t>Next business day on or after it</t>
        </is>
      </c>
      <c r="B19" s="52">
        <f>IF(CheckDate="","",WORKDAY(CheckDate-1,1,Holidays))</f>
        <v/>
      </c>
      <c r="C19" s="6" t="inlineStr">
        <is>
          <t>This is when money you send on a non business day actually moves.</t>
        </is>
      </c>
    </row>
    <row r="20" ht="32" customHeight="1">
      <c r="A20" s="41">
        <f>IF(CheckDate="","Type a date above and this line will tell you whether the banks are open.",IF(C17="Business day","That is an ordinary business day. A payment you make will move, and a deadline landing on it does not shift.","That is not a business day. A SARS deadline landing on it moves back to "&amp;TEXT(B18,"DD MMMM YYYY")&amp;", and money you send on the day will only move on "&amp;TEXT(B19,"DD MMMM YYYY")&amp;"."))</f>
        <v/>
      </c>
      <c r="B20" s="35" t="n"/>
      <c r="C20" s="35" t="n"/>
      <c r="D20" s="35" t="n"/>
      <c r="E20" s="35" t="n"/>
      <c r="F20" s="35" t="n"/>
      <c r="G20" s="35" t="n"/>
    </row>
    <row r="21"/>
    <row r="22" ht="22" customHeight="1">
      <c r="A22" s="7" t="inlineStr">
        <is>
          <t>THE TWELVE PUBLIC HOLIDAYS, AND THE DAYS THE ACT ADDS</t>
        </is>
      </c>
      <c r="B22" s="7" t="n"/>
      <c r="C22" s="7" t="n"/>
      <c r="D22" s="7" t="n"/>
      <c r="E22" s="7" t="n"/>
      <c r="F22" s="7" t="n"/>
      <c r="G22" s="7" t="n"/>
    </row>
    <row r="23" ht="34" customHeight="1">
      <c r="A23" s="13" t="inlineStr">
        <is>
          <t>HOLIDAY</t>
        </is>
      </c>
      <c r="B23" s="13" t="inlineStr">
        <is>
          <t>DATE</t>
        </is>
      </c>
      <c r="C23" s="13" t="inlineStr">
        <is>
          <t>DAY</t>
        </is>
      </c>
      <c r="D23" s="13" t="inlineStr">
        <is>
          <t>COUNTS AS A PUBLIC HOLIDAY</t>
        </is>
      </c>
      <c r="E23" s="13" t="inlineStr">
        <is>
          <t>DATE USED</t>
        </is>
      </c>
      <c r="F23" s="13" t="inlineStr">
        <is>
          <t>MONDAY ADDED BY SECTION 2(1)</t>
        </is>
      </c>
      <c r="G23" s="13" t="inlineStr">
        <is>
          <t>NOTES</t>
        </is>
      </c>
    </row>
    <row r="24" ht="19" customHeight="1">
      <c r="A24" s="48" t="inlineStr">
        <is>
          <t>2026</t>
        </is>
      </c>
      <c r="B24" s="48" t="n"/>
      <c r="C24" s="48" t="n"/>
      <c r="D24" s="48" t="n"/>
      <c r="E24" s="48" t="n"/>
      <c r="F24" s="48" t="n"/>
      <c r="G24" s="48" t="n"/>
    </row>
    <row r="25">
      <c r="A25" s="53" t="inlineStr">
        <is>
          <t>New Year's Day</t>
        </is>
      </c>
      <c r="B25" s="43" t="n">
        <v>46023</v>
      </c>
      <c r="C25" s="54">
        <f>IF(B25="","",B25)</f>
        <v/>
      </c>
      <c r="D25" s="17" t="inlineStr">
        <is>
          <t>Yes</t>
        </is>
      </c>
      <c r="E25" s="16">
        <f>IF(D25="Yes",IF(B25="","",B25),"")</f>
        <v/>
      </c>
      <c r="F25" s="16">
        <f>IF(D25&lt;&gt;"Yes","",IF(B25="","",IF(WEEKDAY(B25,2)=7,B25+1,"")))</f>
        <v/>
      </c>
      <c r="G25" s="55" t="n"/>
    </row>
    <row r="26">
      <c r="A26" s="53" t="inlineStr">
        <is>
          <t>Human Rights Day</t>
        </is>
      </c>
      <c r="B26" s="43" t="n">
        <v>46102</v>
      </c>
      <c r="C26" s="54">
        <f>IF(B26="","",B26)</f>
        <v/>
      </c>
      <c r="D26" s="17" t="inlineStr">
        <is>
          <t>Yes</t>
        </is>
      </c>
      <c r="E26" s="16">
        <f>IF(D26="Yes",IF(B26="","",B26),"")</f>
        <v/>
      </c>
      <c r="F26" s="16">
        <f>IF(D26&lt;&gt;"Yes","",IF(B26="","",IF(WEEKDAY(B26,2)=7,B26+1,"")))</f>
        <v/>
      </c>
      <c r="G26" s="55" t="n"/>
    </row>
    <row r="27" ht="26" customHeight="1">
      <c r="A27" s="53" t="inlineStr">
        <is>
          <t>Good Friday</t>
        </is>
      </c>
      <c r="B27" s="43" t="n">
        <v>46115</v>
      </c>
      <c r="C27" s="54">
        <f>IF(B27="","",B27)</f>
        <v/>
      </c>
      <c r="D27" s="17" t="inlineStr">
        <is>
          <t>Yes</t>
        </is>
      </c>
      <c r="E27" s="16">
        <f>IF(D27="Yes",IF(B27="","",B27),"")</f>
        <v/>
      </c>
      <c r="F27" s="16">
        <f>IF(D27&lt;&gt;"Yes","",IF(B27="","",IF(WEEKDAY(B27,2)=7,B27+1,"")))</f>
        <v/>
      </c>
      <c r="G27" s="55" t="inlineStr">
        <is>
          <t>Moves with Easter, which is why this one is typed in rather than worked out. Check it before you rely on a later year.</t>
        </is>
      </c>
    </row>
    <row r="28" ht="26" customHeight="1">
      <c r="A28" s="53" t="inlineStr">
        <is>
          <t>Family Day</t>
        </is>
      </c>
      <c r="B28" s="43" t="n">
        <v>46118</v>
      </c>
      <c r="C28" s="54">
        <f>IF(B28="","",B28)</f>
        <v/>
      </c>
      <c r="D28" s="17" t="inlineStr">
        <is>
          <t>Yes</t>
        </is>
      </c>
      <c r="E28" s="16">
        <f>IF(D28="Yes",IF(B28="","",B28),"")</f>
        <v/>
      </c>
      <c r="F28" s="16">
        <f>IF(D28&lt;&gt;"Yes","",IF(B28="","",IF(WEEKDAY(B28,2)=7,B28+1,"")))</f>
        <v/>
      </c>
      <c r="G28" s="55" t="inlineStr">
        <is>
          <t>Moves with Easter, which is why this one is typed in rather than worked out. Check it before you rely on a later year.</t>
        </is>
      </c>
    </row>
    <row r="29">
      <c r="A29" s="53" t="inlineStr">
        <is>
          <t>Freedom Day</t>
        </is>
      </c>
      <c r="B29" s="43" t="n">
        <v>46139</v>
      </c>
      <c r="C29" s="54">
        <f>IF(B29="","",B29)</f>
        <v/>
      </c>
      <c r="D29" s="17" t="inlineStr">
        <is>
          <t>Yes</t>
        </is>
      </c>
      <c r="E29" s="16">
        <f>IF(D29="Yes",IF(B29="","",B29),"")</f>
        <v/>
      </c>
      <c r="F29" s="16">
        <f>IF(D29&lt;&gt;"Yes","",IF(B29="","",IF(WEEKDAY(B29,2)=7,B29+1,"")))</f>
        <v/>
      </c>
      <c r="G29" s="55" t="n"/>
    </row>
    <row r="30">
      <c r="A30" s="53" t="inlineStr">
        <is>
          <t>Workers' Day</t>
        </is>
      </c>
      <c r="B30" s="43" t="n">
        <v>46143</v>
      </c>
      <c r="C30" s="54">
        <f>IF(B30="","",B30)</f>
        <v/>
      </c>
      <c r="D30" s="17" t="inlineStr">
        <is>
          <t>Yes</t>
        </is>
      </c>
      <c r="E30" s="16">
        <f>IF(D30="Yes",IF(B30="","",B30),"")</f>
        <v/>
      </c>
      <c r="F30" s="16">
        <f>IF(D30&lt;&gt;"Yes","",IF(B30="","",IF(WEEKDAY(B30,2)=7,B30+1,"")))</f>
        <v/>
      </c>
      <c r="G30" s="55" t="n"/>
    </row>
    <row r="31">
      <c r="A31" s="53" t="inlineStr">
        <is>
          <t>Youth Day</t>
        </is>
      </c>
      <c r="B31" s="43" t="n">
        <v>46189</v>
      </c>
      <c r="C31" s="54">
        <f>IF(B31="","",B31)</f>
        <v/>
      </c>
      <c r="D31" s="17" t="inlineStr">
        <is>
          <t>Yes</t>
        </is>
      </c>
      <c r="E31" s="16">
        <f>IF(D31="Yes",IF(B31="","",B31),"")</f>
        <v/>
      </c>
      <c r="F31" s="16">
        <f>IF(D31&lt;&gt;"Yes","",IF(B31="","",IF(WEEKDAY(B31,2)=7,B31+1,"")))</f>
        <v/>
      </c>
      <c r="G31" s="55" t="n"/>
    </row>
    <row r="32">
      <c r="A32" s="53" t="inlineStr">
        <is>
          <t>National Women's Day</t>
        </is>
      </c>
      <c r="B32" s="43" t="n">
        <v>46243</v>
      </c>
      <c r="C32" s="54">
        <f>IF(B32="","",B32)</f>
        <v/>
      </c>
      <c r="D32" s="17" t="inlineStr">
        <is>
          <t>Yes</t>
        </is>
      </c>
      <c r="E32" s="16">
        <f>IF(D32="Yes",IF(B32="","",B32),"")</f>
        <v/>
      </c>
      <c r="F32" s="16">
        <f>IF(D32&lt;&gt;"Yes","",IF(B32="","",IF(WEEKDAY(B32,2)=7,B32+1,"")))</f>
        <v/>
      </c>
      <c r="G32" s="55" t="n"/>
    </row>
    <row r="33">
      <c r="A33" s="53" t="inlineStr">
        <is>
          <t>Heritage Day</t>
        </is>
      </c>
      <c r="B33" s="43" t="n">
        <v>46289</v>
      </c>
      <c r="C33" s="54">
        <f>IF(B33="","",B33)</f>
        <v/>
      </c>
      <c r="D33" s="17" t="inlineStr">
        <is>
          <t>Yes</t>
        </is>
      </c>
      <c r="E33" s="16">
        <f>IF(D33="Yes",IF(B33="","",B33),"")</f>
        <v/>
      </c>
      <c r="F33" s="16">
        <f>IF(D33&lt;&gt;"Yes","",IF(B33="","",IF(WEEKDAY(B33,2)=7,B33+1,"")))</f>
        <v/>
      </c>
      <c r="G33" s="55" t="n"/>
    </row>
    <row r="34">
      <c r="A34" s="53" t="inlineStr">
        <is>
          <t>Day of Reconciliation</t>
        </is>
      </c>
      <c r="B34" s="43" t="n">
        <v>46372</v>
      </c>
      <c r="C34" s="54">
        <f>IF(B34="","",B34)</f>
        <v/>
      </c>
      <c r="D34" s="17" t="inlineStr">
        <is>
          <t>Yes</t>
        </is>
      </c>
      <c r="E34" s="16">
        <f>IF(D34="Yes",IF(B34="","",B34),"")</f>
        <v/>
      </c>
      <c r="F34" s="16">
        <f>IF(D34&lt;&gt;"Yes","",IF(B34="","",IF(WEEKDAY(B34,2)=7,B34+1,"")))</f>
        <v/>
      </c>
      <c r="G34" s="55" t="n"/>
    </row>
    <row r="35">
      <c r="A35" s="53" t="inlineStr">
        <is>
          <t>Christmas Day</t>
        </is>
      </c>
      <c r="B35" s="43" t="n">
        <v>46381</v>
      </c>
      <c r="C35" s="54">
        <f>IF(B35="","",B35)</f>
        <v/>
      </c>
      <c r="D35" s="17" t="inlineStr">
        <is>
          <t>Yes</t>
        </is>
      </c>
      <c r="E35" s="16">
        <f>IF(D35="Yes",IF(B35="","",B35),"")</f>
        <v/>
      </c>
      <c r="F35" s="16">
        <f>IF(D35&lt;&gt;"Yes","",IF(B35="","",IF(WEEKDAY(B35,2)=7,B35+1,"")))</f>
        <v/>
      </c>
      <c r="G35" s="55" t="n"/>
    </row>
    <row r="36">
      <c r="A36" s="53" t="inlineStr">
        <is>
          <t>Day of Goodwill</t>
        </is>
      </c>
      <c r="B36" s="43" t="n">
        <v>46382</v>
      </c>
      <c r="C36" s="54">
        <f>IF(B36="","",B36)</f>
        <v/>
      </c>
      <c r="D36" s="17" t="inlineStr">
        <is>
          <t>Yes</t>
        </is>
      </c>
      <c r="E36" s="16">
        <f>IF(D36="Yes",IF(B36="","",B36),"")</f>
        <v/>
      </c>
      <c r="F36" s="16">
        <f>IF(D36&lt;&gt;"Yes","",IF(B36="","",IF(WEEKDAY(B36,2)=7,B36+1,"")))</f>
        <v/>
      </c>
      <c r="G36" s="55" t="n"/>
    </row>
    <row r="37" ht="37" customHeight="1">
      <c r="A37" s="53" t="inlineStr">
        <is>
          <t>Local government election day</t>
        </is>
      </c>
      <c r="B37" s="43" t="n">
        <v>46330</v>
      </c>
      <c r="C37" s="54">
        <f>IF(B37="","",B37)</f>
        <v/>
      </c>
      <c r="D37" s="17" t="inlineStr">
        <is>
          <t>Yes</t>
        </is>
      </c>
      <c r="E37" s="16">
        <f>IF(D37="Yes",IF(B37="","",B37),"")</f>
        <v/>
      </c>
      <c r="F37" s="16">
        <f>IF(D37&lt;&gt;"Yes","",IF(B37="","",IF(WEEKDAY(B37,2)=7,B37+1,"")))</f>
        <v/>
      </c>
      <c r="G37" s="55" t="inlineStr">
        <is>
          <t>Declared under section 2A by proclamation. Expected, but the proclamation was not confirmed as gazetted when this template was built on 10 August 2026. Check it and switch this row to No if it was never declared.</t>
        </is>
      </c>
    </row>
    <row r="38" ht="19" customHeight="1">
      <c r="A38" s="48" t="inlineStr">
        <is>
          <t>2027</t>
        </is>
      </c>
      <c r="B38" s="48" t="n"/>
      <c r="C38" s="48" t="n"/>
      <c r="D38" s="48" t="n"/>
      <c r="E38" s="48" t="n"/>
      <c r="F38" s="48" t="n"/>
      <c r="G38" s="48" t="n"/>
    </row>
    <row r="39">
      <c r="A39" s="53" t="inlineStr">
        <is>
          <t>New Year's Day</t>
        </is>
      </c>
      <c r="B39" s="43" t="n">
        <v>46388</v>
      </c>
      <c r="C39" s="54">
        <f>IF(B39="","",B39)</f>
        <v/>
      </c>
      <c r="D39" s="17" t="inlineStr">
        <is>
          <t>Yes</t>
        </is>
      </c>
      <c r="E39" s="16">
        <f>IF(D39="Yes",IF(B39="","",B39),"")</f>
        <v/>
      </c>
      <c r="F39" s="16">
        <f>IF(D39&lt;&gt;"Yes","",IF(B39="","",IF(WEEKDAY(B39,2)=7,B39+1,"")))</f>
        <v/>
      </c>
      <c r="G39" s="55" t="n"/>
    </row>
    <row r="40">
      <c r="A40" s="53" t="inlineStr">
        <is>
          <t>Human Rights Day</t>
        </is>
      </c>
      <c r="B40" s="43" t="n">
        <v>46467</v>
      </c>
      <c r="C40" s="54">
        <f>IF(B40="","",B40)</f>
        <v/>
      </c>
      <c r="D40" s="17" t="inlineStr">
        <is>
          <t>Yes</t>
        </is>
      </c>
      <c r="E40" s="16">
        <f>IF(D40="Yes",IF(B40="","",B40),"")</f>
        <v/>
      </c>
      <c r="F40" s="16">
        <f>IF(D40&lt;&gt;"Yes","",IF(B40="","",IF(WEEKDAY(B40,2)=7,B40+1,"")))</f>
        <v/>
      </c>
      <c r="G40" s="55" t="n"/>
    </row>
    <row r="41" ht="26" customHeight="1">
      <c r="A41" s="53" t="inlineStr">
        <is>
          <t>Good Friday</t>
        </is>
      </c>
      <c r="B41" s="43" t="n">
        <v>46472</v>
      </c>
      <c r="C41" s="54">
        <f>IF(B41="","",B41)</f>
        <v/>
      </c>
      <c r="D41" s="17" t="inlineStr">
        <is>
          <t>Yes</t>
        </is>
      </c>
      <c r="E41" s="16">
        <f>IF(D41="Yes",IF(B41="","",B41),"")</f>
        <v/>
      </c>
      <c r="F41" s="16">
        <f>IF(D41&lt;&gt;"Yes","",IF(B41="","",IF(WEEKDAY(B41,2)=7,B41+1,"")))</f>
        <v/>
      </c>
      <c r="G41" s="55" t="inlineStr">
        <is>
          <t>Moves with Easter, which is why this one is typed in rather than worked out. Check it before you rely on a later year.</t>
        </is>
      </c>
    </row>
    <row r="42" ht="26" customHeight="1">
      <c r="A42" s="53" t="inlineStr">
        <is>
          <t>Family Day</t>
        </is>
      </c>
      <c r="B42" s="43" t="n">
        <v>46475</v>
      </c>
      <c r="C42" s="54">
        <f>IF(B42="","",B42)</f>
        <v/>
      </c>
      <c r="D42" s="17" t="inlineStr">
        <is>
          <t>Yes</t>
        </is>
      </c>
      <c r="E42" s="16">
        <f>IF(D42="Yes",IF(B42="","",B42),"")</f>
        <v/>
      </c>
      <c r="F42" s="16">
        <f>IF(D42&lt;&gt;"Yes","",IF(B42="","",IF(WEEKDAY(B42,2)=7,B42+1,"")))</f>
        <v/>
      </c>
      <c r="G42" s="55" t="inlineStr">
        <is>
          <t>Moves with Easter, which is why this one is typed in rather than worked out. Check it before you rely on a later year.</t>
        </is>
      </c>
    </row>
    <row r="43">
      <c r="A43" s="53" t="inlineStr">
        <is>
          <t>Freedom Day</t>
        </is>
      </c>
      <c r="B43" s="43" t="n">
        <v>46504</v>
      </c>
      <c r="C43" s="54">
        <f>IF(B43="","",B43)</f>
        <v/>
      </c>
      <c r="D43" s="17" t="inlineStr">
        <is>
          <t>Yes</t>
        </is>
      </c>
      <c r="E43" s="16">
        <f>IF(D43="Yes",IF(B43="","",B43),"")</f>
        <v/>
      </c>
      <c r="F43" s="16">
        <f>IF(D43&lt;&gt;"Yes","",IF(B43="","",IF(WEEKDAY(B43,2)=7,B43+1,"")))</f>
        <v/>
      </c>
      <c r="G43" s="55" t="n"/>
    </row>
    <row r="44">
      <c r="A44" s="53" t="inlineStr">
        <is>
          <t>Workers' Day</t>
        </is>
      </c>
      <c r="B44" s="43" t="n">
        <v>46508</v>
      </c>
      <c r="C44" s="54">
        <f>IF(B44="","",B44)</f>
        <v/>
      </c>
      <c r="D44" s="17" t="inlineStr">
        <is>
          <t>Yes</t>
        </is>
      </c>
      <c r="E44" s="16">
        <f>IF(D44="Yes",IF(B44="","",B44),"")</f>
        <v/>
      </c>
      <c r="F44" s="16">
        <f>IF(D44&lt;&gt;"Yes","",IF(B44="","",IF(WEEKDAY(B44,2)=7,B44+1,"")))</f>
        <v/>
      </c>
      <c r="G44" s="55" t="n"/>
    </row>
    <row r="45">
      <c r="A45" s="53" t="inlineStr">
        <is>
          <t>Youth Day</t>
        </is>
      </c>
      <c r="B45" s="43" t="n">
        <v>46554</v>
      </c>
      <c r="C45" s="54">
        <f>IF(B45="","",B45)</f>
        <v/>
      </c>
      <c r="D45" s="17" t="inlineStr">
        <is>
          <t>Yes</t>
        </is>
      </c>
      <c r="E45" s="16">
        <f>IF(D45="Yes",IF(B45="","",B45),"")</f>
        <v/>
      </c>
      <c r="F45" s="16">
        <f>IF(D45&lt;&gt;"Yes","",IF(B45="","",IF(WEEKDAY(B45,2)=7,B45+1,"")))</f>
        <v/>
      </c>
      <c r="G45" s="55" t="n"/>
    </row>
    <row r="46">
      <c r="A46" s="53" t="inlineStr">
        <is>
          <t>National Women's Day</t>
        </is>
      </c>
      <c r="B46" s="43" t="n">
        <v>46608</v>
      </c>
      <c r="C46" s="54">
        <f>IF(B46="","",B46)</f>
        <v/>
      </c>
      <c r="D46" s="17" t="inlineStr">
        <is>
          <t>Yes</t>
        </is>
      </c>
      <c r="E46" s="16">
        <f>IF(D46="Yes",IF(B46="","",B46),"")</f>
        <v/>
      </c>
      <c r="F46" s="16">
        <f>IF(D46&lt;&gt;"Yes","",IF(B46="","",IF(WEEKDAY(B46,2)=7,B46+1,"")))</f>
        <v/>
      </c>
      <c r="G46" s="55" t="n"/>
    </row>
    <row r="47">
      <c r="A47" s="53" t="inlineStr">
        <is>
          <t>Heritage Day</t>
        </is>
      </c>
      <c r="B47" s="43" t="n">
        <v>46654</v>
      </c>
      <c r="C47" s="54">
        <f>IF(B47="","",B47)</f>
        <v/>
      </c>
      <c r="D47" s="17" t="inlineStr">
        <is>
          <t>Yes</t>
        </is>
      </c>
      <c r="E47" s="16">
        <f>IF(D47="Yes",IF(B47="","",B47),"")</f>
        <v/>
      </c>
      <c r="F47" s="16">
        <f>IF(D47&lt;&gt;"Yes","",IF(B47="","",IF(WEEKDAY(B47,2)=7,B47+1,"")))</f>
        <v/>
      </c>
      <c r="G47" s="55" t="n"/>
    </row>
    <row r="48">
      <c r="A48" s="53" t="inlineStr">
        <is>
          <t>Day of Reconciliation</t>
        </is>
      </c>
      <c r="B48" s="43" t="n">
        <v>46737</v>
      </c>
      <c r="C48" s="54">
        <f>IF(B48="","",B48)</f>
        <v/>
      </c>
      <c r="D48" s="17" t="inlineStr">
        <is>
          <t>Yes</t>
        </is>
      </c>
      <c r="E48" s="16">
        <f>IF(D48="Yes",IF(B48="","",B48),"")</f>
        <v/>
      </c>
      <c r="F48" s="16">
        <f>IF(D48&lt;&gt;"Yes","",IF(B48="","",IF(WEEKDAY(B48,2)=7,B48+1,"")))</f>
        <v/>
      </c>
      <c r="G48" s="55" t="n"/>
    </row>
    <row r="49">
      <c r="A49" s="53" t="inlineStr">
        <is>
          <t>Christmas Day</t>
        </is>
      </c>
      <c r="B49" s="43" t="n">
        <v>46746</v>
      </c>
      <c r="C49" s="54">
        <f>IF(B49="","",B49)</f>
        <v/>
      </c>
      <c r="D49" s="17" t="inlineStr">
        <is>
          <t>Yes</t>
        </is>
      </c>
      <c r="E49" s="16">
        <f>IF(D49="Yes",IF(B49="","",B49),"")</f>
        <v/>
      </c>
      <c r="F49" s="16">
        <f>IF(D49&lt;&gt;"Yes","",IF(B49="","",IF(WEEKDAY(B49,2)=7,B49+1,"")))</f>
        <v/>
      </c>
      <c r="G49" s="55" t="n"/>
    </row>
    <row r="50">
      <c r="A50" s="53" t="inlineStr">
        <is>
          <t>Day of Goodwill</t>
        </is>
      </c>
      <c r="B50" s="43" t="n">
        <v>46747</v>
      </c>
      <c r="C50" s="54">
        <f>IF(B50="","",B50)</f>
        <v/>
      </c>
      <c r="D50" s="17" t="inlineStr">
        <is>
          <t>Yes</t>
        </is>
      </c>
      <c r="E50" s="16">
        <f>IF(D50="Yes",IF(B50="","",B50),"")</f>
        <v/>
      </c>
      <c r="F50" s="16">
        <f>IF(D50&lt;&gt;"Yes","",IF(B50="","",IF(WEEKDAY(B50,2)=7,B50+1,"")))</f>
        <v/>
      </c>
      <c r="G50" s="55" t="n"/>
    </row>
    <row r="51" ht="19" customHeight="1">
      <c r="A51" s="48" t="inlineStr">
        <is>
          <t>2028</t>
        </is>
      </c>
      <c r="B51" s="48" t="n"/>
      <c r="C51" s="48" t="n"/>
      <c r="D51" s="48" t="n"/>
      <c r="E51" s="48" t="n"/>
      <c r="F51" s="48" t="n"/>
      <c r="G51" s="48" t="n"/>
    </row>
    <row r="52">
      <c r="A52" s="53" t="inlineStr">
        <is>
          <t>New Year's Day</t>
        </is>
      </c>
      <c r="B52" s="43" t="n">
        <v>46753</v>
      </c>
      <c r="C52" s="54">
        <f>IF(B52="","",B52)</f>
        <v/>
      </c>
      <c r="D52" s="17" t="inlineStr">
        <is>
          <t>Yes</t>
        </is>
      </c>
      <c r="E52" s="16">
        <f>IF(D52="Yes",IF(B52="","",B52),"")</f>
        <v/>
      </c>
      <c r="F52" s="16">
        <f>IF(D52&lt;&gt;"Yes","",IF(B52="","",IF(WEEKDAY(B52,2)=7,B52+1,"")))</f>
        <v/>
      </c>
      <c r="G52" s="55" t="n"/>
    </row>
    <row r="53">
      <c r="A53" s="53" t="inlineStr">
        <is>
          <t>Human Rights Day</t>
        </is>
      </c>
      <c r="B53" s="43" t="n">
        <v>46833</v>
      </c>
      <c r="C53" s="54">
        <f>IF(B53="","",B53)</f>
        <v/>
      </c>
      <c r="D53" s="17" t="inlineStr">
        <is>
          <t>Yes</t>
        </is>
      </c>
      <c r="E53" s="16">
        <f>IF(D53="Yes",IF(B53="","",B53),"")</f>
        <v/>
      </c>
      <c r="F53" s="16">
        <f>IF(D53&lt;&gt;"Yes","",IF(B53="","",IF(WEEKDAY(B53,2)=7,B53+1,"")))</f>
        <v/>
      </c>
      <c r="G53" s="55" t="n"/>
    </row>
    <row r="54" ht="26" customHeight="1">
      <c r="A54" s="53" t="inlineStr">
        <is>
          <t>Good Friday</t>
        </is>
      </c>
      <c r="B54" s="43" t="n">
        <v>46857</v>
      </c>
      <c r="C54" s="54">
        <f>IF(B54="","",B54)</f>
        <v/>
      </c>
      <c r="D54" s="17" t="inlineStr">
        <is>
          <t>Yes</t>
        </is>
      </c>
      <c r="E54" s="16">
        <f>IF(D54="Yes",IF(B54="","",B54),"")</f>
        <v/>
      </c>
      <c r="F54" s="16">
        <f>IF(D54&lt;&gt;"Yes","",IF(B54="","",IF(WEEKDAY(B54,2)=7,B54+1,"")))</f>
        <v/>
      </c>
      <c r="G54" s="55" t="inlineStr">
        <is>
          <t>Moves with Easter, which is why this one is typed in rather than worked out. Check it before you rely on a later year.</t>
        </is>
      </c>
    </row>
    <row r="55" ht="26" customHeight="1">
      <c r="A55" s="53" t="inlineStr">
        <is>
          <t>Family Day</t>
        </is>
      </c>
      <c r="B55" s="43" t="n">
        <v>46860</v>
      </c>
      <c r="C55" s="54">
        <f>IF(B55="","",B55)</f>
        <v/>
      </c>
      <c r="D55" s="17" t="inlineStr">
        <is>
          <t>Yes</t>
        </is>
      </c>
      <c r="E55" s="16">
        <f>IF(D55="Yes",IF(B55="","",B55),"")</f>
        <v/>
      </c>
      <c r="F55" s="16">
        <f>IF(D55&lt;&gt;"Yes","",IF(B55="","",IF(WEEKDAY(B55,2)=7,B55+1,"")))</f>
        <v/>
      </c>
      <c r="G55" s="55" t="inlineStr">
        <is>
          <t>Moves with Easter, which is why this one is typed in rather than worked out. Check it before you rely on a later year.</t>
        </is>
      </c>
    </row>
    <row r="56">
      <c r="A56" s="53" t="inlineStr">
        <is>
          <t>Freedom Day</t>
        </is>
      </c>
      <c r="B56" s="43" t="n">
        <v>46870</v>
      </c>
      <c r="C56" s="54">
        <f>IF(B56="","",B56)</f>
        <v/>
      </c>
      <c r="D56" s="17" t="inlineStr">
        <is>
          <t>Yes</t>
        </is>
      </c>
      <c r="E56" s="16">
        <f>IF(D56="Yes",IF(B56="","",B56),"")</f>
        <v/>
      </c>
      <c r="F56" s="16">
        <f>IF(D56&lt;&gt;"Yes","",IF(B56="","",IF(WEEKDAY(B56,2)=7,B56+1,"")))</f>
        <v/>
      </c>
      <c r="G56" s="55" t="n"/>
    </row>
    <row r="57">
      <c r="A57" s="53" t="inlineStr">
        <is>
          <t>Workers' Day</t>
        </is>
      </c>
      <c r="B57" s="43" t="n">
        <v>46874</v>
      </c>
      <c r="C57" s="54">
        <f>IF(B57="","",B57)</f>
        <v/>
      </c>
      <c r="D57" s="17" t="inlineStr">
        <is>
          <t>Yes</t>
        </is>
      </c>
      <c r="E57" s="16">
        <f>IF(D57="Yes",IF(B57="","",B57),"")</f>
        <v/>
      </c>
      <c r="F57" s="16">
        <f>IF(D57&lt;&gt;"Yes","",IF(B57="","",IF(WEEKDAY(B57,2)=7,B57+1,"")))</f>
        <v/>
      </c>
      <c r="G57" s="55" t="n"/>
    </row>
    <row r="58">
      <c r="A58" s="53" t="inlineStr">
        <is>
          <t>Youth Day</t>
        </is>
      </c>
      <c r="B58" s="43" t="n">
        <v>46920</v>
      </c>
      <c r="C58" s="54">
        <f>IF(B58="","",B58)</f>
        <v/>
      </c>
      <c r="D58" s="17" t="inlineStr">
        <is>
          <t>Yes</t>
        </is>
      </c>
      <c r="E58" s="16">
        <f>IF(D58="Yes",IF(B58="","",B58),"")</f>
        <v/>
      </c>
      <c r="F58" s="16">
        <f>IF(D58&lt;&gt;"Yes","",IF(B58="","",IF(WEEKDAY(B58,2)=7,B58+1,"")))</f>
        <v/>
      </c>
      <c r="G58" s="55" t="n"/>
    </row>
    <row r="59">
      <c r="A59" s="53" t="inlineStr">
        <is>
          <t>National Women's Day</t>
        </is>
      </c>
      <c r="B59" s="43" t="n">
        <v>46974</v>
      </c>
      <c r="C59" s="54">
        <f>IF(B59="","",B59)</f>
        <v/>
      </c>
      <c r="D59" s="17" t="inlineStr">
        <is>
          <t>Yes</t>
        </is>
      </c>
      <c r="E59" s="16">
        <f>IF(D59="Yes",IF(B59="","",B59),"")</f>
        <v/>
      </c>
      <c r="F59" s="16">
        <f>IF(D59&lt;&gt;"Yes","",IF(B59="","",IF(WEEKDAY(B59,2)=7,B59+1,"")))</f>
        <v/>
      </c>
      <c r="G59" s="55" t="n"/>
    </row>
    <row r="60">
      <c r="A60" s="53" t="inlineStr">
        <is>
          <t>Heritage Day</t>
        </is>
      </c>
      <c r="B60" s="43" t="n">
        <v>47020</v>
      </c>
      <c r="C60" s="54">
        <f>IF(B60="","",B60)</f>
        <v/>
      </c>
      <c r="D60" s="17" t="inlineStr">
        <is>
          <t>Yes</t>
        </is>
      </c>
      <c r="E60" s="16">
        <f>IF(D60="Yes",IF(B60="","",B60),"")</f>
        <v/>
      </c>
      <c r="F60" s="16">
        <f>IF(D60&lt;&gt;"Yes","",IF(B60="","",IF(WEEKDAY(B60,2)=7,B60+1,"")))</f>
        <v/>
      </c>
      <c r="G60" s="55" t="n"/>
    </row>
    <row r="61">
      <c r="A61" s="53" t="inlineStr">
        <is>
          <t>Day of Reconciliation</t>
        </is>
      </c>
      <c r="B61" s="43" t="n">
        <v>47103</v>
      </c>
      <c r="C61" s="54">
        <f>IF(B61="","",B61)</f>
        <v/>
      </c>
      <c r="D61" s="17" t="inlineStr">
        <is>
          <t>Yes</t>
        </is>
      </c>
      <c r="E61" s="16">
        <f>IF(D61="Yes",IF(B61="","",B61),"")</f>
        <v/>
      </c>
      <c r="F61" s="16">
        <f>IF(D61&lt;&gt;"Yes","",IF(B61="","",IF(WEEKDAY(B61,2)=7,B61+1,"")))</f>
        <v/>
      </c>
      <c r="G61" s="55" t="n"/>
    </row>
    <row r="62">
      <c r="A62" s="53" t="inlineStr">
        <is>
          <t>Christmas Day</t>
        </is>
      </c>
      <c r="B62" s="43" t="n">
        <v>47112</v>
      </c>
      <c r="C62" s="54">
        <f>IF(B62="","",B62)</f>
        <v/>
      </c>
      <c r="D62" s="17" t="inlineStr">
        <is>
          <t>Yes</t>
        </is>
      </c>
      <c r="E62" s="16">
        <f>IF(D62="Yes",IF(B62="","",B62),"")</f>
        <v/>
      </c>
      <c r="F62" s="16">
        <f>IF(D62&lt;&gt;"Yes","",IF(B62="","",IF(WEEKDAY(B62,2)=7,B62+1,"")))</f>
        <v/>
      </c>
      <c r="G62" s="55" t="n"/>
    </row>
    <row r="63">
      <c r="A63" s="53" t="inlineStr">
        <is>
          <t>Day of Goodwill</t>
        </is>
      </c>
      <c r="B63" s="43" t="n">
        <v>47113</v>
      </c>
      <c r="C63" s="54">
        <f>IF(B63="","",B63)</f>
        <v/>
      </c>
      <c r="D63" s="17" t="inlineStr">
        <is>
          <t>Yes</t>
        </is>
      </c>
      <c r="E63" s="16">
        <f>IF(D63="Yes",IF(B63="","",B63),"")</f>
        <v/>
      </c>
      <c r="F63" s="16">
        <f>IF(D63&lt;&gt;"Yes","",IF(B63="","",IF(WEEKDAY(B63,2)=7,B63+1,"")))</f>
        <v/>
      </c>
      <c r="G63" s="55" t="n"/>
    </row>
    <row r="64" ht="19" customHeight="1">
      <c r="A64" s="48" t="inlineStr">
        <is>
          <t>EXTRA DAYS DECLARED BY THE PRESIDENT UNDER SECTION 2A</t>
        </is>
      </c>
      <c r="B64" s="48" t="n"/>
      <c r="C64" s="48" t="n"/>
      <c r="D64" s="48" t="n"/>
      <c r="E64" s="48" t="n"/>
      <c r="F64" s="48" t="n"/>
      <c r="G64" s="48" t="n"/>
    </row>
    <row r="65">
      <c r="A65" s="53" t="n"/>
      <c r="B65" s="43" t="n"/>
      <c r="C65" s="54">
        <f>IF(B65="","",B65)</f>
        <v/>
      </c>
      <c r="D65" s="17" t="inlineStr">
        <is>
          <t>Yes</t>
        </is>
      </c>
      <c r="E65" s="16">
        <f>IF(D65="Yes",IF(B65="","",B65),"")</f>
        <v/>
      </c>
      <c r="F65" s="16">
        <f>IF(D65&lt;&gt;"Yes","",IF(B65="","",IF(WEEKDAY(B65,2)=7,B65+1,"")))</f>
        <v/>
      </c>
      <c r="G65" s="55" t="n"/>
    </row>
    <row r="66">
      <c r="A66" s="53" t="n"/>
      <c r="B66" s="43" t="n"/>
      <c r="C66" s="54">
        <f>IF(B66="","",B66)</f>
        <v/>
      </c>
      <c r="D66" s="17" t="inlineStr">
        <is>
          <t>Yes</t>
        </is>
      </c>
      <c r="E66" s="16">
        <f>IF(D66="Yes",IF(B66="","",B66),"")</f>
        <v/>
      </c>
      <c r="F66" s="16">
        <f>IF(D66&lt;&gt;"Yes","",IF(B66="","",IF(WEEKDAY(B66,2)=7,B66+1,"")))</f>
        <v/>
      </c>
      <c r="G66" s="55" t="n"/>
    </row>
    <row r="67">
      <c r="A67" s="53" t="n"/>
      <c r="B67" s="43" t="n"/>
      <c r="C67" s="54">
        <f>IF(B67="","",B67)</f>
        <v/>
      </c>
      <c r="D67" s="17" t="inlineStr">
        <is>
          <t>Yes</t>
        </is>
      </c>
      <c r="E67" s="16">
        <f>IF(D67="Yes",IF(B67="","",B67),"")</f>
        <v/>
      </c>
      <c r="F67" s="16">
        <f>IF(D67&lt;&gt;"Yes","",IF(B67="","",IF(WEEKDAY(B67,2)=7,B67+1,"")))</f>
        <v/>
      </c>
      <c r="G67" s="55" t="n"/>
    </row>
    <row r="68">
      <c r="A68" s="53" t="n"/>
      <c r="B68" s="43" t="n"/>
      <c r="C68" s="54">
        <f>IF(B68="","",B68)</f>
        <v/>
      </c>
      <c r="D68" s="17" t="inlineStr">
        <is>
          <t>Yes</t>
        </is>
      </c>
      <c r="E68" s="16">
        <f>IF(D68="Yes",IF(B68="","",B68),"")</f>
        <v/>
      </c>
      <c r="F68" s="16">
        <f>IF(D68&lt;&gt;"Yes","",IF(B68="","",IF(WEEKDAY(B68,2)=7,B68+1,"")))</f>
        <v/>
      </c>
      <c r="G68" s="55" t="n"/>
    </row>
    <row r="69"/>
    <row r="70" ht="26" customHeight="1">
      <c r="A70" s="6" t="inlineStr">
        <is>
          <t>Note: Ten of the twelve are on fixed dates and never move. Only Good Friday and Family Day move, because they follow Easter.</t>
        </is>
      </c>
    </row>
    <row r="71" ht="26" customHeight="1">
      <c r="A71" s="6" t="inlineStr">
        <is>
          <t>Note: A row switched to No drops out of every calculation in the workbook immediately. Use it for a proclaimed day that was never gazetted, not for a day you would rather ignore.</t>
        </is>
      </c>
    </row>
    <row r="72" ht="26" customHeight="1">
      <c r="A72" s="6" t="inlineStr">
        <is>
          <t>Note: The dates are typed rather than worked out, so this table still works in 2029 and beyond. Add the next year the same way, and the Monday column will fill itself in.</t>
        </is>
      </c>
    </row>
    <row r="73" ht="26" customHeight="1">
      <c r="A73" s="6" t="inlineStr">
        <is>
          <t>Note: rates, thresholds and fees quoted in this template were correct at 10 August 2026. Check the current figures on sars.gov.za before you rely on them.</t>
        </is>
      </c>
    </row>
    <row r="74" ht="26" customHeight="1">
      <c r="A74" s="6" t="inlineStr">
        <is>
          <t>Note: this template is a tool, not financial or legal advice for your particular situation. Speak to your accountant before you act on a number that matters.</t>
        </is>
      </c>
    </row>
  </sheetData>
  <mergeCells count="19">
    <mergeCell ref="A20:G20"/>
    <mergeCell ref="A72:G72"/>
    <mergeCell ref="A10:G10"/>
    <mergeCell ref="A13:G13"/>
    <mergeCell ref="A9:G9"/>
    <mergeCell ref="C16:G16"/>
    <mergeCell ref="A73:G73"/>
    <mergeCell ref="A11:G11"/>
    <mergeCell ref="A1:G1"/>
    <mergeCell ref="A70:G70"/>
    <mergeCell ref="A7:G7"/>
    <mergeCell ref="C17:D17"/>
    <mergeCell ref="A74:G74"/>
    <mergeCell ref="A12:G12"/>
    <mergeCell ref="E17:G17"/>
    <mergeCell ref="A2:G2"/>
    <mergeCell ref="C19:G19"/>
    <mergeCell ref="A71:G71"/>
    <mergeCell ref="C18:G18"/>
  </mergeCells>
  <conditionalFormatting sqref="C24:C68">
    <cfRule type="expression" priority="1" dxfId="1" stopIfTrue="0">
      <formula>AND(ISNUMBER(C24),WEEKDAY(C24,2)=7)</formula>
    </cfRule>
  </conditionalFormatting>
  <conditionalFormatting sqref="F24:F68">
    <cfRule type="expression" priority="2" dxfId="1" stopIfTrue="0">
      <formula>ISNUMBER(F24)</formula>
    </cfRule>
  </conditionalFormatting>
  <conditionalFormatting sqref="D24:D68">
    <cfRule type="expression" priority="3" dxfId="0" stopIfTrue="1">
      <formula>D24="No"</formula>
    </cfRule>
    <cfRule type="expression" priority="4" dxfId="2" stopIfTrue="0">
      <formula>D24="Yes"</formula>
    </cfRule>
  </conditionalFormatting>
  <conditionalFormatting sqref="C17">
    <cfRule type="expression" priority="5" dxfId="2" stopIfTrue="1">
      <formula>C17="Business day"</formula>
    </cfRule>
    <cfRule type="expression" priority="6" dxfId="0" stopIfTrue="0">
      <formula>C17&lt;&gt;""</formula>
    </cfRule>
  </conditionalFormatting>
  <dataValidations count="1">
    <dataValidation sqref="D24:D68"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70"/>
  <sheetViews>
    <sheetView showGridLines="0" workbookViewId="0">
      <pane xSplit="1" ySplit="16" topLeftCell="B17" activePane="bottomRight" state="frozen"/>
      <selection pane="topRight"/>
      <selection pane="bottomLeft"/>
      <selection pane="bottomRight" activeCell="A1" sqref="A1"/>
    </sheetView>
  </sheetViews>
  <sheetFormatPr baseColWidth="8" defaultRowHeight="15"/>
  <cols>
    <col width="48"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13.5" customWidth="1" min="14" max="14"/>
  </cols>
  <sheetData>
    <row r="1" ht="26" customHeight="1">
      <c r="A1" s="1" t="inlineStr">
        <is>
          <t>SCENARIOS</t>
        </is>
      </c>
    </row>
    <row r="2" ht="14" customHeight="1">
      <c r="A2" s="2" t="inlineStr">
        <is>
          <t>Four things that go wrong, and the one that actually happens, which is all four at once. Every figure here is live off your real forecast.</t>
        </is>
      </c>
    </row>
    <row r="3" ht="4" customHeight="1"/>
    <row r="4" ht="15" customHeight="1">
      <c r="A4" s="3" t="inlineStr">
        <is>
          <t>[YOUR COMPANY NAME]</t>
        </is>
      </c>
      <c r="N4" s="4" t="inlineStr">
        <is>
          <t>[ Insert your logo in the space above ]</t>
        </is>
      </c>
    </row>
    <row r="5" ht="15" customHeight="1">
      <c r="A5" s="5" t="inlineStr">
        <is>
          <t>Reg No: [XXXX/XXXXXX/XX]</t>
        </is>
      </c>
      <c r="N5" s="4" t="inlineStr">
        <is>
          <t>VAT No: [4XXXXXXXXX] (if VAT registered)</t>
        </is>
      </c>
    </row>
    <row r="6" ht="15" customHeight="1">
      <c r="A6" s="5" t="inlineStr">
        <is>
          <t>[email@yourbusiness.co.za]</t>
        </is>
      </c>
      <c r="N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SET THE FOUR THINGS THAT GO WRONG</t>
        </is>
      </c>
      <c r="B8" s="7" t="n"/>
      <c r="C8" s="7" t="n"/>
      <c r="D8" s="7" t="n"/>
      <c r="E8" s="7" t="n"/>
      <c r="F8" s="7" t="n"/>
      <c r="G8" s="7" t="n"/>
      <c r="H8" s="7" t="n"/>
      <c r="I8" s="7" t="n"/>
      <c r="J8" s="7" t="n"/>
      <c r="K8" s="7" t="n"/>
      <c r="L8" s="7" t="n"/>
      <c r="M8" s="7" t="n"/>
      <c r="N8" s="7" t="n"/>
    </row>
    <row r="9">
      <c r="A9" s="37" t="inlineStr">
        <is>
          <t>Everyone pays you this many weeks later</t>
        </is>
      </c>
      <c r="B9" s="56" t="n">
        <v>2</v>
      </c>
      <c r="C9" s="6" t="inlineStr">
        <is>
          <t>Two weeks is the honest default for most small businesses.</t>
        </is>
      </c>
    </row>
    <row r="10">
      <c r="A10" s="37" t="inlineStr">
        <is>
          <t>Your biggest customer pays this many weeks late</t>
        </is>
      </c>
      <c r="B10" s="56" t="n">
        <v>3</v>
      </c>
      <c r="C10" s="6" t="inlineStr">
        <is>
          <t>On top of the general delay above, in the combined scenario.</t>
        </is>
      </c>
    </row>
    <row r="11">
      <c r="A11" s="37" t="inlineStr">
        <is>
          <t>The customer to test, if not the biggest</t>
        </is>
      </c>
      <c r="B11" s="50" t="n"/>
      <c r="C11" s="35" t="n"/>
      <c r="D11" s="35" t="n"/>
      <c r="E11" s="6" t="inlineStr">
        <is>
          <t>Leave this blank and the sheet uses your largest customer by value.</t>
        </is>
      </c>
    </row>
    <row r="12">
      <c r="A12" s="37" t="inlineStr">
        <is>
          <t>The customer being tested</t>
        </is>
      </c>
      <c r="B12" s="39">
        <f>IF(B11="",IF(SUM(InAmt)=0,"",INDEX(InCust,MATCH(MAX(InCustTot),InCustTot,0))),B11)</f>
        <v/>
      </c>
      <c r="C12" s="35" t="n"/>
      <c r="D12" s="35" t="n"/>
      <c r="E12" s="6" t="inlineStr">
        <is>
          <t>Worked out, not typed.</t>
        </is>
      </c>
    </row>
    <row r="13">
      <c r="A13" s="37" t="inlineStr">
        <is>
          <t>Sales fall by this much</t>
        </is>
      </c>
      <c r="B13" s="38" t="n">
        <v>0.2</v>
      </c>
      <c r="C13" s="6" t="inlineStr">
        <is>
          <t>Applied to cash sales and to collections from customers, not to loans, capital or grants.</t>
        </is>
      </c>
    </row>
    <row r="14">
      <c r="A14" s="37" t="inlineStr">
        <is>
          <t>An unexpected cost of</t>
        </is>
      </c>
      <c r="B14" s="57" t="n">
        <v>30000</v>
      </c>
      <c r="C14" s="6" t="inlineStr">
        <is>
          <t>A broken machine, a deposit you did not plan for, a SARS assessment.</t>
        </is>
      </c>
    </row>
    <row r="15">
      <c r="A15" s="37" t="inlineStr">
        <is>
          <t>lands in week</t>
        </is>
      </c>
      <c r="B15" s="56" t="n">
        <v>5</v>
      </c>
      <c r="C15" s="6" t="inlineStr">
        <is>
          <t>Any week from 1 to 13.</t>
        </is>
      </c>
    </row>
    <row r="16"/>
    <row r="17" ht="22" customHeight="1">
      <c r="A17" s="7" t="inlineStr">
        <is>
          <t>WHAT EACH SCENARIO DOES TO YOU</t>
        </is>
      </c>
      <c r="B17" s="7" t="n"/>
      <c r="C17" s="7" t="n"/>
      <c r="D17" s="7" t="n"/>
      <c r="E17" s="7" t="n"/>
      <c r="F17" s="7" t="n"/>
      <c r="G17" s="7" t="n"/>
      <c r="H17" s="7" t="n"/>
      <c r="I17" s="7" t="n"/>
      <c r="J17" s="7" t="n"/>
      <c r="K17" s="7" t="n"/>
      <c r="L17" s="7" t="n"/>
      <c r="M17" s="7" t="n"/>
      <c r="N17" s="7" t="n"/>
    </row>
    <row r="18" ht="32" customHeight="1">
      <c r="A18" s="13" t="inlineStr">
        <is>
          <t>SCENARIO</t>
        </is>
      </c>
      <c r="B18" s="13" t="inlineStr">
        <is>
          <t>LOWEST CLOSING BALANCE</t>
        </is>
      </c>
      <c r="C18" s="13" t="inlineStr">
        <is>
          <t>IN WEEK</t>
        </is>
      </c>
      <c r="D18" s="13" t="inlineStr">
        <is>
          <t>WEEK STARTING</t>
        </is>
      </c>
      <c r="E18" s="13" t="inlineStr">
        <is>
          <t>BUFFER BREACHED</t>
        </is>
      </c>
      <c r="F18" s="13" t="inlineStr">
        <is>
          <t>EXTRA CASH NEEDED</t>
        </is>
      </c>
      <c r="G18" s="13" t="inlineStr">
        <is>
          <t>ACT BY</t>
        </is>
      </c>
      <c r="H18" s="13" t="inlineStr">
        <is>
          <t>WHAT IT MEANS</t>
        </is>
      </c>
      <c r="I18" s="35" t="n"/>
      <c r="J18" s="35" t="n"/>
      <c r="K18" s="35" t="n"/>
      <c r="L18" s="35" t="n"/>
      <c r="M18" s="35" t="n"/>
      <c r="N18" s="35" t="n"/>
    </row>
    <row r="19" ht="40" customHeight="1">
      <c r="A19" s="20" t="inlineStr">
        <is>
          <t>Everyone pays you later</t>
        </is>
      </c>
      <c r="B19" s="18">
        <f>MIN(B30:N30)</f>
        <v/>
      </c>
      <c r="C19" s="58">
        <f>MATCH(MIN(B30:N30),B30:N30,0)</f>
        <v/>
      </c>
      <c r="D19" s="16">
        <f>INDEX(FcDates,1,C19)</f>
        <v/>
      </c>
      <c r="E19" s="46">
        <f>IF(B19&lt;CashBuffer,"Yes","No")</f>
        <v/>
      </c>
      <c r="F19" s="18">
        <f>IF(B19&gt;=CashBuffer,0,CashBuffer-B19)</f>
        <v/>
      </c>
      <c r="G19" s="16">
        <f>IFERROR(INDEX(FcDates,1,MATCH(1,B31:N31,0)),"")</f>
        <v/>
      </c>
      <c r="H19" s="59">
        <f>IF(Week1="","Fill in the forecast first.",IF(B19&gt;=CashBuffer,"You can absorb this one. The lowest you go is "&amp;TEXT(B19,"""R"" #,##0.00")&amp;" in week "&amp;C19&amp;", which is still above your buffer.","This one breaks you. The lowest you go is "&amp;TEXT(B19,"""R"" #,##0.00")&amp;" in week "&amp;C19&amp;", starting "&amp;TEXT(D19,"DD MMMM YYYY")&amp;". You need "&amp;TEXT(F19,"""R"" #,##0.00")&amp;" more cash, and you need it by "&amp;TEXT(G19,"DD MMMM YYYY")&amp;". Arrange it in week "&amp;MAX(1,MATCH(1,B31:N31,0)-2)&amp;", not in the week it happens."))</f>
        <v/>
      </c>
      <c r="I19" s="35" t="n"/>
      <c r="J19" s="35" t="n"/>
      <c r="K19" s="35" t="n"/>
      <c r="L19" s="35" t="n"/>
      <c r="M19" s="35" t="n"/>
      <c r="N19" s="35" t="n"/>
    </row>
    <row r="20" ht="40" customHeight="1">
      <c r="A20" s="20" t="inlineStr">
        <is>
          <t>Your biggest customer pays late</t>
        </is>
      </c>
      <c r="B20" s="18">
        <f>MIN(B38:N38)</f>
        <v/>
      </c>
      <c r="C20" s="58">
        <f>MATCH(MIN(B38:N38),B38:N38,0)</f>
        <v/>
      </c>
      <c r="D20" s="16">
        <f>INDEX(FcDates,1,C20)</f>
        <v/>
      </c>
      <c r="E20" s="46">
        <f>IF(B20&lt;CashBuffer,"Yes","No")</f>
        <v/>
      </c>
      <c r="F20" s="18">
        <f>IF(B20&gt;=CashBuffer,0,CashBuffer-B20)</f>
        <v/>
      </c>
      <c r="G20" s="16">
        <f>IFERROR(INDEX(FcDates,1,MATCH(1,B39:N39,0)),"")</f>
        <v/>
      </c>
      <c r="H20" s="59">
        <f>IF(Week1="","Fill in the forecast first.",IF(B20&gt;=CashBuffer,"You can absorb this one. The lowest you go is "&amp;TEXT(B20,"""R"" #,##0.00")&amp;" in week "&amp;C20&amp;", which is still above your buffer.","This one breaks you. The lowest you go is "&amp;TEXT(B20,"""R"" #,##0.00")&amp;" in week "&amp;C20&amp;", starting "&amp;TEXT(D20,"DD MMMM YYYY")&amp;". You need "&amp;TEXT(F20,"""R"" #,##0.00")&amp;" more cash, and you need it by "&amp;TEXT(G20,"DD MMMM YYYY")&amp;". Arrange it in week "&amp;MAX(1,MATCH(1,B39:N39,0)-2)&amp;", not in the week it happens."))</f>
        <v/>
      </c>
      <c r="I20" s="35" t="n"/>
      <c r="J20" s="35" t="n"/>
      <c r="K20" s="35" t="n"/>
      <c r="L20" s="35" t="n"/>
      <c r="M20" s="35" t="n"/>
      <c r="N20" s="35" t="n"/>
    </row>
    <row r="21" ht="40" customHeight="1">
      <c r="A21" s="20" t="inlineStr">
        <is>
          <t>Sales fall</t>
        </is>
      </c>
      <c r="B21" s="18">
        <f>MIN(B46:N46)</f>
        <v/>
      </c>
      <c r="C21" s="58">
        <f>MATCH(MIN(B46:N46),B46:N46,0)</f>
        <v/>
      </c>
      <c r="D21" s="16">
        <f>INDEX(FcDates,1,C21)</f>
        <v/>
      </c>
      <c r="E21" s="46">
        <f>IF(B21&lt;CashBuffer,"Yes","No")</f>
        <v/>
      </c>
      <c r="F21" s="18">
        <f>IF(B21&gt;=CashBuffer,0,CashBuffer-B21)</f>
        <v/>
      </c>
      <c r="G21" s="16">
        <f>IFERROR(INDEX(FcDates,1,MATCH(1,B47:N47,0)),"")</f>
        <v/>
      </c>
      <c r="H21" s="59">
        <f>IF(Week1="","Fill in the forecast first.",IF(B21&gt;=CashBuffer,"You can absorb this one. The lowest you go is "&amp;TEXT(B21,"""R"" #,##0.00")&amp;" in week "&amp;C21&amp;", which is still above your buffer.","This one breaks you. The lowest you go is "&amp;TEXT(B21,"""R"" #,##0.00")&amp;" in week "&amp;C21&amp;", starting "&amp;TEXT(D21,"DD MMMM YYYY")&amp;". You need "&amp;TEXT(F21,"""R"" #,##0.00")&amp;" more cash, and you need it by "&amp;TEXT(G21,"DD MMMM YYYY")&amp;". Arrange it in week "&amp;MAX(1,MATCH(1,B47:N47,0)-2)&amp;", not in the week it happens."))</f>
        <v/>
      </c>
      <c r="I21" s="35" t="n"/>
      <c r="J21" s="35" t="n"/>
      <c r="K21" s="35" t="n"/>
      <c r="L21" s="35" t="n"/>
      <c r="M21" s="35" t="n"/>
      <c r="N21" s="35" t="n"/>
    </row>
    <row r="22" ht="40" customHeight="1">
      <c r="A22" s="20" t="inlineStr">
        <is>
          <t>An unexpected cost lands</t>
        </is>
      </c>
      <c r="B22" s="18">
        <f>MIN(B54:N54)</f>
        <v/>
      </c>
      <c r="C22" s="58">
        <f>MATCH(MIN(B54:N54),B54:N54,0)</f>
        <v/>
      </c>
      <c r="D22" s="16">
        <f>INDEX(FcDates,1,C22)</f>
        <v/>
      </c>
      <c r="E22" s="46">
        <f>IF(B22&lt;CashBuffer,"Yes","No")</f>
        <v/>
      </c>
      <c r="F22" s="18">
        <f>IF(B22&gt;=CashBuffer,0,CashBuffer-B22)</f>
        <v/>
      </c>
      <c r="G22" s="16">
        <f>IFERROR(INDEX(FcDates,1,MATCH(1,B55:N55,0)),"")</f>
        <v/>
      </c>
      <c r="H22" s="59">
        <f>IF(Week1="","Fill in the forecast first.",IF(B22&gt;=CashBuffer,"You can absorb this one. The lowest you go is "&amp;TEXT(B22,"""R"" #,##0.00")&amp;" in week "&amp;C22&amp;", which is still above your buffer.","This one breaks you. The lowest you go is "&amp;TEXT(B22,"""R"" #,##0.00")&amp;" in week "&amp;C22&amp;", starting "&amp;TEXT(D22,"DD MMMM YYYY")&amp;". You need "&amp;TEXT(F22,"""R"" #,##0.00")&amp;" more cash, and you need it by "&amp;TEXT(G22,"DD MMMM YYYY")&amp;". Arrange it in week "&amp;MAX(1,MATCH(1,B55:N55,0)-2)&amp;", not in the week it happens."))</f>
        <v/>
      </c>
      <c r="I22" s="35" t="n"/>
      <c r="J22" s="35" t="n"/>
      <c r="K22" s="35" t="n"/>
      <c r="L22" s="35" t="n"/>
      <c r="M22" s="35" t="n"/>
      <c r="N22" s="35" t="n"/>
    </row>
    <row r="23" ht="40" customHeight="1">
      <c r="A23" s="37" t="inlineStr">
        <is>
          <t>The combined worst case</t>
        </is>
      </c>
      <c r="B23" s="18">
        <f>MIN(B64:N64)</f>
        <v/>
      </c>
      <c r="C23" s="58">
        <f>MATCH(MIN(B64:N64),B64:N64,0)</f>
        <v/>
      </c>
      <c r="D23" s="16">
        <f>INDEX(FcDates,1,C23)</f>
        <v/>
      </c>
      <c r="E23" s="46">
        <f>IF(B23&lt;CashBuffer,"Yes","No")</f>
        <v/>
      </c>
      <c r="F23" s="18">
        <f>IF(B23&gt;=CashBuffer,0,CashBuffer-B23)</f>
        <v/>
      </c>
      <c r="G23" s="16">
        <f>IFERROR(INDEX(FcDates,1,MATCH(1,B65:N65,0)),"")</f>
        <v/>
      </c>
      <c r="H23" s="59">
        <f>IF(Week1="","Fill in the forecast first.",IF(B23&gt;=CashBuffer,"You can absorb this one. The lowest you go is "&amp;TEXT(B23,"""R"" #,##0.00")&amp;" in week "&amp;C23&amp;", which is still above your buffer.","This one breaks you. The lowest you go is "&amp;TEXT(B23,"""R"" #,##0.00")&amp;" in week "&amp;C23&amp;", starting "&amp;TEXT(D23,"DD MMMM YYYY")&amp;". You need "&amp;TEXT(F23,"""R"" #,##0.00")&amp;" more cash, and you need it by "&amp;TEXT(G23,"DD MMMM YYYY")&amp;". Arrange it in week "&amp;MAX(1,MATCH(1,B65:N65,0)-2)&amp;", not in the week it happens."))</f>
        <v/>
      </c>
      <c r="I23" s="35" t="n"/>
      <c r="J23" s="35" t="n"/>
      <c r="K23" s="35" t="n"/>
      <c r="L23" s="35" t="n"/>
      <c r="M23" s="35" t="n"/>
      <c r="N23" s="35" t="n"/>
    </row>
    <row r="24"/>
    <row r="25"/>
    <row r="26" ht="22" customHeight="1">
      <c r="A26" s="60" t="inlineStr">
        <is>
          <t>SCENARIO 1: EVERYONE PAYS YOU LATER</t>
        </is>
      </c>
      <c r="B26" s="60" t="n"/>
      <c r="C26" s="60" t="n"/>
      <c r="D26" s="60" t="n"/>
      <c r="E26" s="60" t="n"/>
      <c r="F26" s="60" t="n"/>
      <c r="G26" s="60" t="n"/>
      <c r="H26" s="60" t="n"/>
      <c r="I26" s="60" t="n"/>
      <c r="J26" s="60" t="n"/>
      <c r="K26" s="60" t="n"/>
      <c r="L26" s="60" t="n"/>
      <c r="M26" s="60" t="n"/>
      <c r="N26" s="60" t="n"/>
    </row>
    <row r="27" ht="26" customHeight="1">
      <c r="A27" s="13" t="inlineStr">
        <is>
          <t>LINE</t>
        </is>
      </c>
      <c r="B27" s="13" t="inlineStr">
        <is>
          <t>WEEK 1</t>
        </is>
      </c>
      <c r="C27" s="13" t="inlineStr">
        <is>
          <t>WEEK 2</t>
        </is>
      </c>
      <c r="D27" s="13" t="inlineStr">
        <is>
          <t>WEEK 3</t>
        </is>
      </c>
      <c r="E27" s="13" t="inlineStr">
        <is>
          <t>WEEK 4</t>
        </is>
      </c>
      <c r="F27" s="13" t="inlineStr">
        <is>
          <t>WEEK 5</t>
        </is>
      </c>
      <c r="G27" s="13" t="inlineStr">
        <is>
          <t>WEEK 6</t>
        </is>
      </c>
      <c r="H27" s="13" t="inlineStr">
        <is>
          <t>WEEK 7</t>
        </is>
      </c>
      <c r="I27" s="13" t="inlineStr">
        <is>
          <t>WEEK 8</t>
        </is>
      </c>
      <c r="J27" s="13" t="inlineStr">
        <is>
          <t>WEEK 9</t>
        </is>
      </c>
      <c r="K27" s="13" t="inlineStr">
        <is>
          <t>WEEK 10</t>
        </is>
      </c>
      <c r="L27" s="13" t="inlineStr">
        <is>
          <t>WEEK 11</t>
        </is>
      </c>
      <c r="M27" s="13" t="inlineStr">
        <is>
          <t>WEEK 12</t>
        </is>
      </c>
      <c r="N27" s="13" t="inlineStr">
        <is>
          <t>WEEK 13</t>
        </is>
      </c>
    </row>
    <row r="28">
      <c r="A28" s="20" t="inlineStr">
        <is>
          <t>Cash coming in</t>
        </is>
      </c>
      <c r="B28" s="18">
        <f>IF(1-ScenLate&lt;1,0,INDEX(FcIn,1,1-ScenLate))</f>
        <v/>
      </c>
      <c r="C28" s="18">
        <f>IF(2-ScenLate&lt;1,0,INDEX(FcIn,1,2-ScenLate))</f>
        <v/>
      </c>
      <c r="D28" s="18">
        <f>IF(3-ScenLate&lt;1,0,INDEX(FcIn,1,3-ScenLate))</f>
        <v/>
      </c>
      <c r="E28" s="18">
        <f>IF(4-ScenLate&lt;1,0,INDEX(FcIn,1,4-ScenLate))</f>
        <v/>
      </c>
      <c r="F28" s="18">
        <f>IF(5-ScenLate&lt;1,0,INDEX(FcIn,1,5-ScenLate))</f>
        <v/>
      </c>
      <c r="G28" s="18">
        <f>IF(6-ScenLate&lt;1,0,INDEX(FcIn,1,6-ScenLate))</f>
        <v/>
      </c>
      <c r="H28" s="18">
        <f>IF(7-ScenLate&lt;1,0,INDEX(FcIn,1,7-ScenLate))</f>
        <v/>
      </c>
      <c r="I28" s="18">
        <f>IF(8-ScenLate&lt;1,0,INDEX(FcIn,1,8-ScenLate))</f>
        <v/>
      </c>
      <c r="J28" s="18">
        <f>IF(9-ScenLate&lt;1,0,INDEX(FcIn,1,9-ScenLate))</f>
        <v/>
      </c>
      <c r="K28" s="18">
        <f>IF(10-ScenLate&lt;1,0,INDEX(FcIn,1,10-ScenLate))</f>
        <v/>
      </c>
      <c r="L28" s="18">
        <f>IF(11-ScenLate&lt;1,0,INDEX(FcIn,1,11-ScenLate))</f>
        <v/>
      </c>
      <c r="M28" s="18">
        <f>IF(12-ScenLate&lt;1,0,INDEX(FcIn,1,12-ScenLate))</f>
        <v/>
      </c>
      <c r="N28" s="18">
        <f>IF(13-ScenLate&lt;1,0,INDEX(FcIn,1,13-ScenLate))</f>
        <v/>
      </c>
    </row>
    <row r="29">
      <c r="A29" s="20" t="inlineStr">
        <is>
          <t>Cash going out</t>
        </is>
      </c>
      <c r="B29" s="18">
        <f>INDEX(FcOut,1,1)</f>
        <v/>
      </c>
      <c r="C29" s="18">
        <f>INDEX(FcOut,1,2)</f>
        <v/>
      </c>
      <c r="D29" s="18">
        <f>INDEX(FcOut,1,3)</f>
        <v/>
      </c>
      <c r="E29" s="18">
        <f>INDEX(FcOut,1,4)</f>
        <v/>
      </c>
      <c r="F29" s="18">
        <f>INDEX(FcOut,1,5)</f>
        <v/>
      </c>
      <c r="G29" s="18">
        <f>INDEX(FcOut,1,6)</f>
        <v/>
      </c>
      <c r="H29" s="18">
        <f>INDEX(FcOut,1,7)</f>
        <v/>
      </c>
      <c r="I29" s="18">
        <f>INDEX(FcOut,1,8)</f>
        <v/>
      </c>
      <c r="J29" s="18">
        <f>INDEX(FcOut,1,9)</f>
        <v/>
      </c>
      <c r="K29" s="18">
        <f>INDEX(FcOut,1,10)</f>
        <v/>
      </c>
      <c r="L29" s="18">
        <f>INDEX(FcOut,1,11)</f>
        <v/>
      </c>
      <c r="M29" s="18">
        <f>INDEX(FcOut,1,12)</f>
        <v/>
      </c>
      <c r="N29" s="18">
        <f>INDEX(FcOut,1,13)</f>
        <v/>
      </c>
    </row>
    <row r="30">
      <c r="A30" s="37" t="inlineStr">
        <is>
          <t>Closing balance</t>
        </is>
      </c>
      <c r="B30" s="61">
        <f>OpeningBal+B28-B29</f>
        <v/>
      </c>
      <c r="C30" s="61">
        <f>B30+C28-C29</f>
        <v/>
      </c>
      <c r="D30" s="61">
        <f>C30+D28-D29</f>
        <v/>
      </c>
      <c r="E30" s="61">
        <f>D30+E28-E29</f>
        <v/>
      </c>
      <c r="F30" s="61">
        <f>E30+F28-F29</f>
        <v/>
      </c>
      <c r="G30" s="61">
        <f>F30+G28-G29</f>
        <v/>
      </c>
      <c r="H30" s="61">
        <f>G30+H28-H29</f>
        <v/>
      </c>
      <c r="I30" s="61">
        <f>H30+I28-I29</f>
        <v/>
      </c>
      <c r="J30" s="61">
        <f>I30+J28-J29</f>
        <v/>
      </c>
      <c r="K30" s="61">
        <f>J30+K28-K29</f>
        <v/>
      </c>
      <c r="L30" s="61">
        <f>K30+L28-L29</f>
        <v/>
      </c>
      <c r="M30" s="61">
        <f>L30+M28-M29</f>
        <v/>
      </c>
      <c r="N30" s="61">
        <f>M30+N28-N29</f>
        <v/>
      </c>
    </row>
    <row r="31">
      <c r="A31" s="20" t="inlineStr">
        <is>
          <t>Below the buffer, 1 means yes</t>
        </is>
      </c>
      <c r="B31" s="58">
        <f>IF(B30&lt;CashBuffer,1,0)</f>
        <v/>
      </c>
      <c r="C31" s="58">
        <f>IF(C30&lt;CashBuffer,1,0)</f>
        <v/>
      </c>
      <c r="D31" s="58">
        <f>IF(D30&lt;CashBuffer,1,0)</f>
        <v/>
      </c>
      <c r="E31" s="58">
        <f>IF(E30&lt;CashBuffer,1,0)</f>
        <v/>
      </c>
      <c r="F31" s="58">
        <f>IF(F30&lt;CashBuffer,1,0)</f>
        <v/>
      </c>
      <c r="G31" s="58">
        <f>IF(G30&lt;CashBuffer,1,0)</f>
        <v/>
      </c>
      <c r="H31" s="58">
        <f>IF(H30&lt;CashBuffer,1,0)</f>
        <v/>
      </c>
      <c r="I31" s="58">
        <f>IF(I30&lt;CashBuffer,1,0)</f>
        <v/>
      </c>
      <c r="J31" s="58">
        <f>IF(J30&lt;CashBuffer,1,0)</f>
        <v/>
      </c>
      <c r="K31" s="58">
        <f>IF(K30&lt;CashBuffer,1,0)</f>
        <v/>
      </c>
      <c r="L31" s="58">
        <f>IF(L30&lt;CashBuffer,1,0)</f>
        <v/>
      </c>
      <c r="M31" s="58">
        <f>IF(M30&lt;CashBuffer,1,0)</f>
        <v/>
      </c>
      <c r="N31" s="58">
        <f>IF(N30&lt;CashBuffer,1,0)</f>
        <v/>
      </c>
    </row>
    <row r="32" ht="24" customHeight="1">
      <c r="A32" s="6" t="inlineStr">
        <is>
          <t>Note: Every rand of cash in slides by the number of weeks you set. Anything that slides past week 13 simply does not arrive in this window.</t>
        </is>
      </c>
    </row>
    <row r="33"/>
    <row r="34" ht="22" customHeight="1">
      <c r="A34" s="60" t="inlineStr">
        <is>
          <t>SCENARIO 2: YOUR BIGGEST CUSTOMER PAYS LATE</t>
        </is>
      </c>
      <c r="B34" s="60" t="n"/>
      <c r="C34" s="60" t="n"/>
      <c r="D34" s="60" t="n"/>
      <c r="E34" s="60" t="n"/>
      <c r="F34" s="60" t="n"/>
      <c r="G34" s="60" t="n"/>
      <c r="H34" s="60" t="n"/>
      <c r="I34" s="60" t="n"/>
      <c r="J34" s="60" t="n"/>
      <c r="K34" s="60" t="n"/>
      <c r="L34" s="60" t="n"/>
      <c r="M34" s="60" t="n"/>
      <c r="N34" s="60" t="n"/>
    </row>
    <row r="35" ht="26" customHeight="1">
      <c r="A35" s="13" t="inlineStr">
        <is>
          <t>LINE</t>
        </is>
      </c>
      <c r="B35" s="13" t="inlineStr">
        <is>
          <t>WEEK 1</t>
        </is>
      </c>
      <c r="C35" s="13" t="inlineStr">
        <is>
          <t>WEEK 2</t>
        </is>
      </c>
      <c r="D35" s="13" t="inlineStr">
        <is>
          <t>WEEK 3</t>
        </is>
      </c>
      <c r="E35" s="13" t="inlineStr">
        <is>
          <t>WEEK 4</t>
        </is>
      </c>
      <c r="F35" s="13" t="inlineStr">
        <is>
          <t>WEEK 5</t>
        </is>
      </c>
      <c r="G35" s="13" t="inlineStr">
        <is>
          <t>WEEK 6</t>
        </is>
      </c>
      <c r="H35" s="13" t="inlineStr">
        <is>
          <t>WEEK 7</t>
        </is>
      </c>
      <c r="I35" s="13" t="inlineStr">
        <is>
          <t>WEEK 8</t>
        </is>
      </c>
      <c r="J35" s="13" t="inlineStr">
        <is>
          <t>WEEK 9</t>
        </is>
      </c>
      <c r="K35" s="13" t="inlineStr">
        <is>
          <t>WEEK 10</t>
        </is>
      </c>
      <c r="L35" s="13" t="inlineStr">
        <is>
          <t>WEEK 11</t>
        </is>
      </c>
      <c r="M35" s="13" t="inlineStr">
        <is>
          <t>WEEK 12</t>
        </is>
      </c>
      <c r="N35" s="13" t="inlineStr">
        <is>
          <t>WEEK 13</t>
        </is>
      </c>
    </row>
    <row r="36">
      <c r="A36" s="20" t="inlineStr">
        <is>
          <t>Cash coming in</t>
        </is>
      </c>
      <c r="B36" s="18">
        <f>INDEX(FcIn,1,1)-SUMIFS(InAmt,InWk,1,InCust,CustUsed)+IF(1-ScenBigLate&lt;1,0,SUMIFS(InAmt,InWk,1-ScenBigLate,InCust,CustUsed))</f>
        <v/>
      </c>
      <c r="C36" s="18">
        <f>INDEX(FcIn,1,2)-SUMIFS(InAmt,InWk,2,InCust,CustUsed)+IF(2-ScenBigLate&lt;1,0,SUMIFS(InAmt,InWk,2-ScenBigLate,InCust,CustUsed))</f>
        <v/>
      </c>
      <c r="D36" s="18">
        <f>INDEX(FcIn,1,3)-SUMIFS(InAmt,InWk,3,InCust,CustUsed)+IF(3-ScenBigLate&lt;1,0,SUMIFS(InAmt,InWk,3-ScenBigLate,InCust,CustUsed))</f>
        <v/>
      </c>
      <c r="E36" s="18">
        <f>INDEX(FcIn,1,4)-SUMIFS(InAmt,InWk,4,InCust,CustUsed)+IF(4-ScenBigLate&lt;1,0,SUMIFS(InAmt,InWk,4-ScenBigLate,InCust,CustUsed))</f>
        <v/>
      </c>
      <c r="F36" s="18">
        <f>INDEX(FcIn,1,5)-SUMIFS(InAmt,InWk,5,InCust,CustUsed)+IF(5-ScenBigLate&lt;1,0,SUMIFS(InAmt,InWk,5-ScenBigLate,InCust,CustUsed))</f>
        <v/>
      </c>
      <c r="G36" s="18">
        <f>INDEX(FcIn,1,6)-SUMIFS(InAmt,InWk,6,InCust,CustUsed)+IF(6-ScenBigLate&lt;1,0,SUMIFS(InAmt,InWk,6-ScenBigLate,InCust,CustUsed))</f>
        <v/>
      </c>
      <c r="H36" s="18">
        <f>INDEX(FcIn,1,7)-SUMIFS(InAmt,InWk,7,InCust,CustUsed)+IF(7-ScenBigLate&lt;1,0,SUMIFS(InAmt,InWk,7-ScenBigLate,InCust,CustUsed))</f>
        <v/>
      </c>
      <c r="I36" s="18">
        <f>INDEX(FcIn,1,8)-SUMIFS(InAmt,InWk,8,InCust,CustUsed)+IF(8-ScenBigLate&lt;1,0,SUMIFS(InAmt,InWk,8-ScenBigLate,InCust,CustUsed))</f>
        <v/>
      </c>
      <c r="J36" s="18">
        <f>INDEX(FcIn,1,9)-SUMIFS(InAmt,InWk,9,InCust,CustUsed)+IF(9-ScenBigLate&lt;1,0,SUMIFS(InAmt,InWk,9-ScenBigLate,InCust,CustUsed))</f>
        <v/>
      </c>
      <c r="K36" s="18">
        <f>INDEX(FcIn,1,10)-SUMIFS(InAmt,InWk,10,InCust,CustUsed)+IF(10-ScenBigLate&lt;1,0,SUMIFS(InAmt,InWk,10-ScenBigLate,InCust,CustUsed))</f>
        <v/>
      </c>
      <c r="L36" s="18">
        <f>INDEX(FcIn,1,11)-SUMIFS(InAmt,InWk,11,InCust,CustUsed)+IF(11-ScenBigLate&lt;1,0,SUMIFS(InAmt,InWk,11-ScenBigLate,InCust,CustUsed))</f>
        <v/>
      </c>
      <c r="M36" s="18">
        <f>INDEX(FcIn,1,12)-SUMIFS(InAmt,InWk,12,InCust,CustUsed)+IF(12-ScenBigLate&lt;1,0,SUMIFS(InAmt,InWk,12-ScenBigLate,InCust,CustUsed))</f>
        <v/>
      </c>
      <c r="N36" s="18">
        <f>INDEX(FcIn,1,13)-SUMIFS(InAmt,InWk,13,InCust,CustUsed)+IF(13-ScenBigLate&lt;1,0,SUMIFS(InAmt,InWk,13-ScenBigLate,InCust,CustUsed))</f>
        <v/>
      </c>
    </row>
    <row r="37">
      <c r="A37" s="20" t="inlineStr">
        <is>
          <t>Cash going out</t>
        </is>
      </c>
      <c r="B37" s="18">
        <f>INDEX(FcOut,1,1)</f>
        <v/>
      </c>
      <c r="C37" s="18">
        <f>INDEX(FcOut,1,2)</f>
        <v/>
      </c>
      <c r="D37" s="18">
        <f>INDEX(FcOut,1,3)</f>
        <v/>
      </c>
      <c r="E37" s="18">
        <f>INDEX(FcOut,1,4)</f>
        <v/>
      </c>
      <c r="F37" s="18">
        <f>INDEX(FcOut,1,5)</f>
        <v/>
      </c>
      <c r="G37" s="18">
        <f>INDEX(FcOut,1,6)</f>
        <v/>
      </c>
      <c r="H37" s="18">
        <f>INDEX(FcOut,1,7)</f>
        <v/>
      </c>
      <c r="I37" s="18">
        <f>INDEX(FcOut,1,8)</f>
        <v/>
      </c>
      <c r="J37" s="18">
        <f>INDEX(FcOut,1,9)</f>
        <v/>
      </c>
      <c r="K37" s="18">
        <f>INDEX(FcOut,1,10)</f>
        <v/>
      </c>
      <c r="L37" s="18">
        <f>INDEX(FcOut,1,11)</f>
        <v/>
      </c>
      <c r="M37" s="18">
        <f>INDEX(FcOut,1,12)</f>
        <v/>
      </c>
      <c r="N37" s="18">
        <f>INDEX(FcOut,1,13)</f>
        <v/>
      </c>
    </row>
    <row r="38">
      <c r="A38" s="37" t="inlineStr">
        <is>
          <t>Closing balance</t>
        </is>
      </c>
      <c r="B38" s="61">
        <f>OpeningBal+B36-B37</f>
        <v/>
      </c>
      <c r="C38" s="61">
        <f>B38+C36-C37</f>
        <v/>
      </c>
      <c r="D38" s="61">
        <f>C38+D36-D37</f>
        <v/>
      </c>
      <c r="E38" s="61">
        <f>D38+E36-E37</f>
        <v/>
      </c>
      <c r="F38" s="61">
        <f>E38+F36-F37</f>
        <v/>
      </c>
      <c r="G38" s="61">
        <f>F38+G36-G37</f>
        <v/>
      </c>
      <c r="H38" s="61">
        <f>G38+H36-H37</f>
        <v/>
      </c>
      <c r="I38" s="61">
        <f>H38+I36-I37</f>
        <v/>
      </c>
      <c r="J38" s="61">
        <f>I38+J36-J37</f>
        <v/>
      </c>
      <c r="K38" s="61">
        <f>J38+K36-K37</f>
        <v/>
      </c>
      <c r="L38" s="61">
        <f>K38+L36-L37</f>
        <v/>
      </c>
      <c r="M38" s="61">
        <f>L38+M36-M37</f>
        <v/>
      </c>
      <c r="N38" s="61">
        <f>M38+N36-N37</f>
        <v/>
      </c>
    </row>
    <row r="39">
      <c r="A39" s="20" t="inlineStr">
        <is>
          <t>Below the buffer, 1 means yes</t>
        </is>
      </c>
      <c r="B39" s="58">
        <f>IF(B38&lt;CashBuffer,1,0)</f>
        <v/>
      </c>
      <c r="C39" s="58">
        <f>IF(C38&lt;CashBuffer,1,0)</f>
        <v/>
      </c>
      <c r="D39" s="58">
        <f>IF(D38&lt;CashBuffer,1,0)</f>
        <v/>
      </c>
      <c r="E39" s="58">
        <f>IF(E38&lt;CashBuffer,1,0)</f>
        <v/>
      </c>
      <c r="F39" s="58">
        <f>IF(F38&lt;CashBuffer,1,0)</f>
        <v/>
      </c>
      <c r="G39" s="58">
        <f>IF(G38&lt;CashBuffer,1,0)</f>
        <v/>
      </c>
      <c r="H39" s="58">
        <f>IF(H38&lt;CashBuffer,1,0)</f>
        <v/>
      </c>
      <c r="I39" s="58">
        <f>IF(I38&lt;CashBuffer,1,0)</f>
        <v/>
      </c>
      <c r="J39" s="58">
        <f>IF(J38&lt;CashBuffer,1,0)</f>
        <v/>
      </c>
      <c r="K39" s="58">
        <f>IF(K38&lt;CashBuffer,1,0)</f>
        <v/>
      </c>
      <c r="L39" s="58">
        <f>IF(L38&lt;CashBuffer,1,0)</f>
        <v/>
      </c>
      <c r="M39" s="58">
        <f>IF(M38&lt;CashBuffer,1,0)</f>
        <v/>
      </c>
      <c r="N39" s="58">
        <f>IF(N38&lt;CashBuffer,1,0)</f>
        <v/>
      </c>
    </row>
    <row r="40" ht="24" customHeight="1">
      <c r="A40" s="6" t="inlineStr">
        <is>
          <t>Note: Only that one customer moves. Everybody else pays when you said they would.</t>
        </is>
      </c>
    </row>
    <row r="41"/>
    <row r="42" ht="22" customHeight="1">
      <c r="A42" s="60" t="inlineStr">
        <is>
          <t>SCENARIO 3: SALES FALL</t>
        </is>
      </c>
      <c r="B42" s="60" t="n"/>
      <c r="C42" s="60" t="n"/>
      <c r="D42" s="60" t="n"/>
      <c r="E42" s="60" t="n"/>
      <c r="F42" s="60" t="n"/>
      <c r="G42" s="60" t="n"/>
      <c r="H42" s="60" t="n"/>
      <c r="I42" s="60" t="n"/>
      <c r="J42" s="60" t="n"/>
      <c r="K42" s="60" t="n"/>
      <c r="L42" s="60" t="n"/>
      <c r="M42" s="60" t="n"/>
      <c r="N42" s="60" t="n"/>
    </row>
    <row r="43" ht="26" customHeight="1">
      <c r="A43" s="13" t="inlineStr">
        <is>
          <t>LINE</t>
        </is>
      </c>
      <c r="B43" s="13" t="inlineStr">
        <is>
          <t>WEEK 1</t>
        </is>
      </c>
      <c r="C43" s="13" t="inlineStr">
        <is>
          <t>WEEK 2</t>
        </is>
      </c>
      <c r="D43" s="13" t="inlineStr">
        <is>
          <t>WEEK 3</t>
        </is>
      </c>
      <c r="E43" s="13" t="inlineStr">
        <is>
          <t>WEEK 4</t>
        </is>
      </c>
      <c r="F43" s="13" t="inlineStr">
        <is>
          <t>WEEK 5</t>
        </is>
      </c>
      <c r="G43" s="13" t="inlineStr">
        <is>
          <t>WEEK 6</t>
        </is>
      </c>
      <c r="H43" s="13" t="inlineStr">
        <is>
          <t>WEEK 7</t>
        </is>
      </c>
      <c r="I43" s="13" t="inlineStr">
        <is>
          <t>WEEK 8</t>
        </is>
      </c>
      <c r="J43" s="13" t="inlineStr">
        <is>
          <t>WEEK 9</t>
        </is>
      </c>
      <c r="K43" s="13" t="inlineStr">
        <is>
          <t>WEEK 10</t>
        </is>
      </c>
      <c r="L43" s="13" t="inlineStr">
        <is>
          <t>WEEK 11</t>
        </is>
      </c>
      <c r="M43" s="13" t="inlineStr">
        <is>
          <t>WEEK 12</t>
        </is>
      </c>
      <c r="N43" s="13" t="inlineStr">
        <is>
          <t>WEEK 13</t>
        </is>
      </c>
    </row>
    <row r="44">
      <c r="A44" s="20" t="inlineStr">
        <is>
          <t>Cash coming in</t>
        </is>
      </c>
      <c r="B44" s="18">
        <f>INDEX(FcIn,1,1)-(INDEX(FcCashSales,1,1)+INDEX(FcColl,1,1)+INDEX(FcCollHand,1,1))*ScenDrop</f>
        <v/>
      </c>
      <c r="C44" s="18">
        <f>INDEX(FcIn,1,2)-(INDEX(FcCashSales,1,2)+INDEX(FcColl,1,2)+INDEX(FcCollHand,1,2))*ScenDrop</f>
        <v/>
      </c>
      <c r="D44" s="18">
        <f>INDEX(FcIn,1,3)-(INDEX(FcCashSales,1,3)+INDEX(FcColl,1,3)+INDEX(FcCollHand,1,3))*ScenDrop</f>
        <v/>
      </c>
      <c r="E44" s="18">
        <f>INDEX(FcIn,1,4)-(INDEX(FcCashSales,1,4)+INDEX(FcColl,1,4)+INDEX(FcCollHand,1,4))*ScenDrop</f>
        <v/>
      </c>
      <c r="F44" s="18">
        <f>INDEX(FcIn,1,5)-(INDEX(FcCashSales,1,5)+INDEX(FcColl,1,5)+INDEX(FcCollHand,1,5))*ScenDrop</f>
        <v/>
      </c>
      <c r="G44" s="18">
        <f>INDEX(FcIn,1,6)-(INDEX(FcCashSales,1,6)+INDEX(FcColl,1,6)+INDEX(FcCollHand,1,6))*ScenDrop</f>
        <v/>
      </c>
      <c r="H44" s="18">
        <f>INDEX(FcIn,1,7)-(INDEX(FcCashSales,1,7)+INDEX(FcColl,1,7)+INDEX(FcCollHand,1,7))*ScenDrop</f>
        <v/>
      </c>
      <c r="I44" s="18">
        <f>INDEX(FcIn,1,8)-(INDEX(FcCashSales,1,8)+INDEX(FcColl,1,8)+INDEX(FcCollHand,1,8))*ScenDrop</f>
        <v/>
      </c>
      <c r="J44" s="18">
        <f>INDEX(FcIn,1,9)-(INDEX(FcCashSales,1,9)+INDEX(FcColl,1,9)+INDEX(FcCollHand,1,9))*ScenDrop</f>
        <v/>
      </c>
      <c r="K44" s="18">
        <f>INDEX(FcIn,1,10)-(INDEX(FcCashSales,1,10)+INDEX(FcColl,1,10)+INDEX(FcCollHand,1,10))*ScenDrop</f>
        <v/>
      </c>
      <c r="L44" s="18">
        <f>INDEX(FcIn,1,11)-(INDEX(FcCashSales,1,11)+INDEX(FcColl,1,11)+INDEX(FcCollHand,1,11))*ScenDrop</f>
        <v/>
      </c>
      <c r="M44" s="18">
        <f>INDEX(FcIn,1,12)-(INDEX(FcCashSales,1,12)+INDEX(FcColl,1,12)+INDEX(FcCollHand,1,12))*ScenDrop</f>
        <v/>
      </c>
      <c r="N44" s="18">
        <f>INDEX(FcIn,1,13)-(INDEX(FcCashSales,1,13)+INDEX(FcColl,1,13)+INDEX(FcCollHand,1,13))*ScenDrop</f>
        <v/>
      </c>
    </row>
    <row r="45">
      <c r="A45" s="20" t="inlineStr">
        <is>
          <t>Cash going out</t>
        </is>
      </c>
      <c r="B45" s="18">
        <f>INDEX(FcOut,1,1)</f>
        <v/>
      </c>
      <c r="C45" s="18">
        <f>INDEX(FcOut,1,2)</f>
        <v/>
      </c>
      <c r="D45" s="18">
        <f>INDEX(FcOut,1,3)</f>
        <v/>
      </c>
      <c r="E45" s="18">
        <f>INDEX(FcOut,1,4)</f>
        <v/>
      </c>
      <c r="F45" s="18">
        <f>INDEX(FcOut,1,5)</f>
        <v/>
      </c>
      <c r="G45" s="18">
        <f>INDEX(FcOut,1,6)</f>
        <v/>
      </c>
      <c r="H45" s="18">
        <f>INDEX(FcOut,1,7)</f>
        <v/>
      </c>
      <c r="I45" s="18">
        <f>INDEX(FcOut,1,8)</f>
        <v/>
      </c>
      <c r="J45" s="18">
        <f>INDEX(FcOut,1,9)</f>
        <v/>
      </c>
      <c r="K45" s="18">
        <f>INDEX(FcOut,1,10)</f>
        <v/>
      </c>
      <c r="L45" s="18">
        <f>INDEX(FcOut,1,11)</f>
        <v/>
      </c>
      <c r="M45" s="18">
        <f>INDEX(FcOut,1,12)</f>
        <v/>
      </c>
      <c r="N45" s="18">
        <f>INDEX(FcOut,1,13)</f>
        <v/>
      </c>
    </row>
    <row r="46">
      <c r="A46" s="37" t="inlineStr">
        <is>
          <t>Closing balance</t>
        </is>
      </c>
      <c r="B46" s="61">
        <f>OpeningBal+B44-B45</f>
        <v/>
      </c>
      <c r="C46" s="61">
        <f>B46+C44-C45</f>
        <v/>
      </c>
      <c r="D46" s="61">
        <f>C46+D44-D45</f>
        <v/>
      </c>
      <c r="E46" s="61">
        <f>D46+E44-E45</f>
        <v/>
      </c>
      <c r="F46" s="61">
        <f>E46+F44-F45</f>
        <v/>
      </c>
      <c r="G46" s="61">
        <f>F46+G44-G45</f>
        <v/>
      </c>
      <c r="H46" s="61">
        <f>G46+H44-H45</f>
        <v/>
      </c>
      <c r="I46" s="61">
        <f>H46+I44-I45</f>
        <v/>
      </c>
      <c r="J46" s="61">
        <f>I46+J44-J45</f>
        <v/>
      </c>
      <c r="K46" s="61">
        <f>J46+K44-K45</f>
        <v/>
      </c>
      <c r="L46" s="61">
        <f>K46+L44-L45</f>
        <v/>
      </c>
      <c r="M46" s="61">
        <f>L46+M44-M45</f>
        <v/>
      </c>
      <c r="N46" s="61">
        <f>M46+N44-N45</f>
        <v/>
      </c>
    </row>
    <row r="47">
      <c r="A47" s="20" t="inlineStr">
        <is>
          <t>Below the buffer, 1 means yes</t>
        </is>
      </c>
      <c r="B47" s="58">
        <f>IF(B46&lt;CashBuffer,1,0)</f>
        <v/>
      </c>
      <c r="C47" s="58">
        <f>IF(C46&lt;CashBuffer,1,0)</f>
        <v/>
      </c>
      <c r="D47" s="58">
        <f>IF(D46&lt;CashBuffer,1,0)</f>
        <v/>
      </c>
      <c r="E47" s="58">
        <f>IF(E46&lt;CashBuffer,1,0)</f>
        <v/>
      </c>
      <c r="F47" s="58">
        <f>IF(F46&lt;CashBuffer,1,0)</f>
        <v/>
      </c>
      <c r="G47" s="58">
        <f>IF(G46&lt;CashBuffer,1,0)</f>
        <v/>
      </c>
      <c r="H47" s="58">
        <f>IF(H46&lt;CashBuffer,1,0)</f>
        <v/>
      </c>
      <c r="I47" s="58">
        <f>IF(I46&lt;CashBuffer,1,0)</f>
        <v/>
      </c>
      <c r="J47" s="58">
        <f>IF(J46&lt;CashBuffer,1,0)</f>
        <v/>
      </c>
      <c r="K47" s="58">
        <f>IF(K46&lt;CashBuffer,1,0)</f>
        <v/>
      </c>
      <c r="L47" s="58">
        <f>IF(L46&lt;CashBuffer,1,0)</f>
        <v/>
      </c>
      <c r="M47" s="58">
        <f>IF(M46&lt;CashBuffer,1,0)</f>
        <v/>
      </c>
      <c r="N47" s="58">
        <f>IF(N46&lt;CashBuffer,1,0)</f>
        <v/>
      </c>
    </row>
    <row r="48" ht="24" customHeight="1">
      <c r="A48" s="6" t="inlineStr">
        <is>
          <t>Note: Cash sales and collections drop by the percentage you set. Loans, capital and grants are left alone.</t>
        </is>
      </c>
    </row>
    <row r="49"/>
    <row r="50" ht="22" customHeight="1">
      <c r="A50" s="60" t="inlineStr">
        <is>
          <t>SCENARIO 4: AN UNEXPECTED COST LANDS</t>
        </is>
      </c>
      <c r="B50" s="60" t="n"/>
      <c r="C50" s="60" t="n"/>
      <c r="D50" s="60" t="n"/>
      <c r="E50" s="60" t="n"/>
      <c r="F50" s="60" t="n"/>
      <c r="G50" s="60" t="n"/>
      <c r="H50" s="60" t="n"/>
      <c r="I50" s="60" t="n"/>
      <c r="J50" s="60" t="n"/>
      <c r="K50" s="60" t="n"/>
      <c r="L50" s="60" t="n"/>
      <c r="M50" s="60" t="n"/>
      <c r="N50" s="60" t="n"/>
    </row>
    <row r="51" ht="26" customHeight="1">
      <c r="A51" s="13" t="inlineStr">
        <is>
          <t>LINE</t>
        </is>
      </c>
      <c r="B51" s="13" t="inlineStr">
        <is>
          <t>WEEK 1</t>
        </is>
      </c>
      <c r="C51" s="13" t="inlineStr">
        <is>
          <t>WEEK 2</t>
        </is>
      </c>
      <c r="D51" s="13" t="inlineStr">
        <is>
          <t>WEEK 3</t>
        </is>
      </c>
      <c r="E51" s="13" t="inlineStr">
        <is>
          <t>WEEK 4</t>
        </is>
      </c>
      <c r="F51" s="13" t="inlineStr">
        <is>
          <t>WEEK 5</t>
        </is>
      </c>
      <c r="G51" s="13" t="inlineStr">
        <is>
          <t>WEEK 6</t>
        </is>
      </c>
      <c r="H51" s="13" t="inlineStr">
        <is>
          <t>WEEK 7</t>
        </is>
      </c>
      <c r="I51" s="13" t="inlineStr">
        <is>
          <t>WEEK 8</t>
        </is>
      </c>
      <c r="J51" s="13" t="inlineStr">
        <is>
          <t>WEEK 9</t>
        </is>
      </c>
      <c r="K51" s="13" t="inlineStr">
        <is>
          <t>WEEK 10</t>
        </is>
      </c>
      <c r="L51" s="13" t="inlineStr">
        <is>
          <t>WEEK 11</t>
        </is>
      </c>
      <c r="M51" s="13" t="inlineStr">
        <is>
          <t>WEEK 12</t>
        </is>
      </c>
      <c r="N51" s="13" t="inlineStr">
        <is>
          <t>WEEK 13</t>
        </is>
      </c>
    </row>
    <row r="52">
      <c r="A52" s="20" t="inlineStr">
        <is>
          <t>Cash coming in</t>
        </is>
      </c>
      <c r="B52" s="18">
        <f>INDEX(FcIn,1,1)</f>
        <v/>
      </c>
      <c r="C52" s="18">
        <f>INDEX(FcIn,1,2)</f>
        <v/>
      </c>
      <c r="D52" s="18">
        <f>INDEX(FcIn,1,3)</f>
        <v/>
      </c>
      <c r="E52" s="18">
        <f>INDEX(FcIn,1,4)</f>
        <v/>
      </c>
      <c r="F52" s="18">
        <f>INDEX(FcIn,1,5)</f>
        <v/>
      </c>
      <c r="G52" s="18">
        <f>INDEX(FcIn,1,6)</f>
        <v/>
      </c>
      <c r="H52" s="18">
        <f>INDEX(FcIn,1,7)</f>
        <v/>
      </c>
      <c r="I52" s="18">
        <f>INDEX(FcIn,1,8)</f>
        <v/>
      </c>
      <c r="J52" s="18">
        <f>INDEX(FcIn,1,9)</f>
        <v/>
      </c>
      <c r="K52" s="18">
        <f>INDEX(FcIn,1,10)</f>
        <v/>
      </c>
      <c r="L52" s="18">
        <f>INDEX(FcIn,1,11)</f>
        <v/>
      </c>
      <c r="M52" s="18">
        <f>INDEX(FcIn,1,12)</f>
        <v/>
      </c>
      <c r="N52" s="18">
        <f>INDEX(FcIn,1,13)</f>
        <v/>
      </c>
    </row>
    <row r="53">
      <c r="A53" s="20" t="inlineStr">
        <is>
          <t>Cash going out</t>
        </is>
      </c>
      <c r="B53" s="18">
        <f>INDEX(FcOut,1,1)+IF(1=ScenCostWeek,ScenCost,0)</f>
        <v/>
      </c>
      <c r="C53" s="18">
        <f>INDEX(FcOut,1,2)+IF(2=ScenCostWeek,ScenCost,0)</f>
        <v/>
      </c>
      <c r="D53" s="18">
        <f>INDEX(FcOut,1,3)+IF(3=ScenCostWeek,ScenCost,0)</f>
        <v/>
      </c>
      <c r="E53" s="18">
        <f>INDEX(FcOut,1,4)+IF(4=ScenCostWeek,ScenCost,0)</f>
        <v/>
      </c>
      <c r="F53" s="18">
        <f>INDEX(FcOut,1,5)+IF(5=ScenCostWeek,ScenCost,0)</f>
        <v/>
      </c>
      <c r="G53" s="18">
        <f>INDEX(FcOut,1,6)+IF(6=ScenCostWeek,ScenCost,0)</f>
        <v/>
      </c>
      <c r="H53" s="18">
        <f>INDEX(FcOut,1,7)+IF(7=ScenCostWeek,ScenCost,0)</f>
        <v/>
      </c>
      <c r="I53" s="18">
        <f>INDEX(FcOut,1,8)+IF(8=ScenCostWeek,ScenCost,0)</f>
        <v/>
      </c>
      <c r="J53" s="18">
        <f>INDEX(FcOut,1,9)+IF(9=ScenCostWeek,ScenCost,0)</f>
        <v/>
      </c>
      <c r="K53" s="18">
        <f>INDEX(FcOut,1,10)+IF(10=ScenCostWeek,ScenCost,0)</f>
        <v/>
      </c>
      <c r="L53" s="18">
        <f>INDEX(FcOut,1,11)+IF(11=ScenCostWeek,ScenCost,0)</f>
        <v/>
      </c>
      <c r="M53" s="18">
        <f>INDEX(FcOut,1,12)+IF(12=ScenCostWeek,ScenCost,0)</f>
        <v/>
      </c>
      <c r="N53" s="18">
        <f>INDEX(FcOut,1,13)+IF(13=ScenCostWeek,ScenCost,0)</f>
        <v/>
      </c>
    </row>
    <row r="54">
      <c r="A54" s="37" t="inlineStr">
        <is>
          <t>Closing balance</t>
        </is>
      </c>
      <c r="B54" s="61">
        <f>OpeningBal+B52-B53</f>
        <v/>
      </c>
      <c r="C54" s="61">
        <f>B54+C52-C53</f>
        <v/>
      </c>
      <c r="D54" s="61">
        <f>C54+D52-D53</f>
        <v/>
      </c>
      <c r="E54" s="61">
        <f>D54+E52-E53</f>
        <v/>
      </c>
      <c r="F54" s="61">
        <f>E54+F52-F53</f>
        <v/>
      </c>
      <c r="G54" s="61">
        <f>F54+G52-G53</f>
        <v/>
      </c>
      <c r="H54" s="61">
        <f>G54+H52-H53</f>
        <v/>
      </c>
      <c r="I54" s="61">
        <f>H54+I52-I53</f>
        <v/>
      </c>
      <c r="J54" s="61">
        <f>I54+J52-J53</f>
        <v/>
      </c>
      <c r="K54" s="61">
        <f>J54+K52-K53</f>
        <v/>
      </c>
      <c r="L54" s="61">
        <f>K54+L52-L53</f>
        <v/>
      </c>
      <c r="M54" s="61">
        <f>L54+M52-M53</f>
        <v/>
      </c>
      <c r="N54" s="61">
        <f>M54+N52-N53</f>
        <v/>
      </c>
    </row>
    <row r="55">
      <c r="A55" s="20" t="inlineStr">
        <is>
          <t>Below the buffer, 1 means yes</t>
        </is>
      </c>
      <c r="B55" s="58">
        <f>IF(B54&lt;CashBuffer,1,0)</f>
        <v/>
      </c>
      <c r="C55" s="58">
        <f>IF(C54&lt;CashBuffer,1,0)</f>
        <v/>
      </c>
      <c r="D55" s="58">
        <f>IF(D54&lt;CashBuffer,1,0)</f>
        <v/>
      </c>
      <c r="E55" s="58">
        <f>IF(E54&lt;CashBuffer,1,0)</f>
        <v/>
      </c>
      <c r="F55" s="58">
        <f>IF(F54&lt;CashBuffer,1,0)</f>
        <v/>
      </c>
      <c r="G55" s="58">
        <f>IF(G54&lt;CashBuffer,1,0)</f>
        <v/>
      </c>
      <c r="H55" s="58">
        <f>IF(H54&lt;CashBuffer,1,0)</f>
        <v/>
      </c>
      <c r="I55" s="58">
        <f>IF(I54&lt;CashBuffer,1,0)</f>
        <v/>
      </c>
      <c r="J55" s="58">
        <f>IF(J54&lt;CashBuffer,1,0)</f>
        <v/>
      </c>
      <c r="K55" s="58">
        <f>IF(K54&lt;CashBuffer,1,0)</f>
        <v/>
      </c>
      <c r="L55" s="58">
        <f>IF(L54&lt;CashBuffer,1,0)</f>
        <v/>
      </c>
      <c r="M55" s="58">
        <f>IF(M54&lt;CashBuffer,1,0)</f>
        <v/>
      </c>
      <c r="N55" s="58">
        <f>IF(N54&lt;CashBuffer,1,0)</f>
        <v/>
      </c>
    </row>
    <row r="56" ht="24" customHeight="1">
      <c r="A56" s="6" t="inlineStr">
        <is>
          <t>Note: One extra payment in one week. Nothing else changes.</t>
        </is>
      </c>
    </row>
    <row r="57"/>
    <row r="58" ht="22" customHeight="1">
      <c r="A58" s="60" t="inlineStr">
        <is>
          <t>SCENARIO 5: THE COMBINED WORST CASE</t>
        </is>
      </c>
      <c r="B58" s="60" t="n"/>
      <c r="C58" s="60" t="n"/>
      <c r="D58" s="60" t="n"/>
      <c r="E58" s="60" t="n"/>
      <c r="F58" s="60" t="n"/>
      <c r="G58" s="60" t="n"/>
      <c r="H58" s="60" t="n"/>
      <c r="I58" s="60" t="n"/>
      <c r="J58" s="60" t="n"/>
      <c r="K58" s="60" t="n"/>
      <c r="L58" s="60" t="n"/>
      <c r="M58" s="60" t="n"/>
      <c r="N58" s="60" t="n"/>
    </row>
    <row r="59" ht="26" customHeight="1">
      <c r="A59" s="13" t="inlineStr">
        <is>
          <t>LINE</t>
        </is>
      </c>
      <c r="B59" s="13" t="inlineStr">
        <is>
          <t>WEEK 1</t>
        </is>
      </c>
      <c r="C59" s="13" t="inlineStr">
        <is>
          <t>WEEK 2</t>
        </is>
      </c>
      <c r="D59" s="13" t="inlineStr">
        <is>
          <t>WEEK 3</t>
        </is>
      </c>
      <c r="E59" s="13" t="inlineStr">
        <is>
          <t>WEEK 4</t>
        </is>
      </c>
      <c r="F59" s="13" t="inlineStr">
        <is>
          <t>WEEK 5</t>
        </is>
      </c>
      <c r="G59" s="13" t="inlineStr">
        <is>
          <t>WEEK 6</t>
        </is>
      </c>
      <c r="H59" s="13" t="inlineStr">
        <is>
          <t>WEEK 7</t>
        </is>
      </c>
      <c r="I59" s="13" t="inlineStr">
        <is>
          <t>WEEK 8</t>
        </is>
      </c>
      <c r="J59" s="13" t="inlineStr">
        <is>
          <t>WEEK 9</t>
        </is>
      </c>
      <c r="K59" s="13" t="inlineStr">
        <is>
          <t>WEEK 10</t>
        </is>
      </c>
      <c r="L59" s="13" t="inlineStr">
        <is>
          <t>WEEK 11</t>
        </is>
      </c>
      <c r="M59" s="13" t="inlineStr">
        <is>
          <t>WEEK 12</t>
        </is>
      </c>
      <c r="N59" s="13" t="inlineStr">
        <is>
          <t>WEEK 13</t>
        </is>
      </c>
    </row>
    <row r="60">
      <c r="A60" s="20" t="inlineStr">
        <is>
          <t>Everyone else, after the sales drop</t>
        </is>
      </c>
      <c r="B60" s="18">
        <f>INDEX(FcIn,1,1)-(INDEX(FcCashSales,1,1)+INDEX(FcColl,1,1)+INDEX(FcCollHand,1,1))*ScenDrop-SUMIFS(InAmt,InWk,1,InCust,CustUsed)*(1-ScenDrop)</f>
        <v/>
      </c>
      <c r="C60" s="18">
        <f>INDEX(FcIn,1,2)-(INDEX(FcCashSales,1,2)+INDEX(FcColl,1,2)+INDEX(FcCollHand,1,2))*ScenDrop-SUMIFS(InAmt,InWk,2,InCust,CustUsed)*(1-ScenDrop)</f>
        <v/>
      </c>
      <c r="D60" s="18">
        <f>INDEX(FcIn,1,3)-(INDEX(FcCashSales,1,3)+INDEX(FcColl,1,3)+INDEX(FcCollHand,1,3))*ScenDrop-SUMIFS(InAmt,InWk,3,InCust,CustUsed)*(1-ScenDrop)</f>
        <v/>
      </c>
      <c r="E60" s="18">
        <f>INDEX(FcIn,1,4)-(INDEX(FcCashSales,1,4)+INDEX(FcColl,1,4)+INDEX(FcCollHand,1,4))*ScenDrop-SUMIFS(InAmt,InWk,4,InCust,CustUsed)*(1-ScenDrop)</f>
        <v/>
      </c>
      <c r="F60" s="18">
        <f>INDEX(FcIn,1,5)-(INDEX(FcCashSales,1,5)+INDEX(FcColl,1,5)+INDEX(FcCollHand,1,5))*ScenDrop-SUMIFS(InAmt,InWk,5,InCust,CustUsed)*(1-ScenDrop)</f>
        <v/>
      </c>
      <c r="G60" s="18">
        <f>INDEX(FcIn,1,6)-(INDEX(FcCashSales,1,6)+INDEX(FcColl,1,6)+INDEX(FcCollHand,1,6))*ScenDrop-SUMIFS(InAmt,InWk,6,InCust,CustUsed)*(1-ScenDrop)</f>
        <v/>
      </c>
      <c r="H60" s="18">
        <f>INDEX(FcIn,1,7)-(INDEX(FcCashSales,1,7)+INDEX(FcColl,1,7)+INDEX(FcCollHand,1,7))*ScenDrop-SUMIFS(InAmt,InWk,7,InCust,CustUsed)*(1-ScenDrop)</f>
        <v/>
      </c>
      <c r="I60" s="18">
        <f>INDEX(FcIn,1,8)-(INDEX(FcCashSales,1,8)+INDEX(FcColl,1,8)+INDEX(FcCollHand,1,8))*ScenDrop-SUMIFS(InAmt,InWk,8,InCust,CustUsed)*(1-ScenDrop)</f>
        <v/>
      </c>
      <c r="J60" s="18">
        <f>INDEX(FcIn,1,9)-(INDEX(FcCashSales,1,9)+INDEX(FcColl,1,9)+INDEX(FcCollHand,1,9))*ScenDrop-SUMIFS(InAmt,InWk,9,InCust,CustUsed)*(1-ScenDrop)</f>
        <v/>
      </c>
      <c r="K60" s="18">
        <f>INDEX(FcIn,1,10)-(INDEX(FcCashSales,1,10)+INDEX(FcColl,1,10)+INDEX(FcCollHand,1,10))*ScenDrop-SUMIFS(InAmt,InWk,10,InCust,CustUsed)*(1-ScenDrop)</f>
        <v/>
      </c>
      <c r="L60" s="18">
        <f>INDEX(FcIn,1,11)-(INDEX(FcCashSales,1,11)+INDEX(FcColl,1,11)+INDEX(FcCollHand,1,11))*ScenDrop-SUMIFS(InAmt,InWk,11,InCust,CustUsed)*(1-ScenDrop)</f>
        <v/>
      </c>
      <c r="M60" s="18">
        <f>INDEX(FcIn,1,12)-(INDEX(FcCashSales,1,12)+INDEX(FcColl,1,12)+INDEX(FcCollHand,1,12))*ScenDrop-SUMIFS(InAmt,InWk,12,InCust,CustUsed)*(1-ScenDrop)</f>
        <v/>
      </c>
      <c r="N60" s="18">
        <f>INDEX(FcIn,1,13)-(INDEX(FcCashSales,1,13)+INDEX(FcColl,1,13)+INDEX(FcCollHand,1,13))*ScenDrop-SUMIFS(InAmt,InWk,13,InCust,CustUsed)*(1-ScenDrop)</f>
        <v/>
      </c>
    </row>
    <row r="61">
      <c r="A61" s="20" t="inlineStr">
        <is>
          <t>Your biggest customer, after the sales drop</t>
        </is>
      </c>
      <c r="B61" s="18">
        <f>SUMIFS(InAmt,InWk,1,InCust,CustUsed)*(1-ScenDrop)</f>
        <v/>
      </c>
      <c r="C61" s="18">
        <f>SUMIFS(InAmt,InWk,2,InCust,CustUsed)*(1-ScenDrop)</f>
        <v/>
      </c>
      <c r="D61" s="18">
        <f>SUMIFS(InAmt,InWk,3,InCust,CustUsed)*(1-ScenDrop)</f>
        <v/>
      </c>
      <c r="E61" s="18">
        <f>SUMIFS(InAmt,InWk,4,InCust,CustUsed)*(1-ScenDrop)</f>
        <v/>
      </c>
      <c r="F61" s="18">
        <f>SUMIFS(InAmt,InWk,5,InCust,CustUsed)*(1-ScenDrop)</f>
        <v/>
      </c>
      <c r="G61" s="18">
        <f>SUMIFS(InAmt,InWk,6,InCust,CustUsed)*(1-ScenDrop)</f>
        <v/>
      </c>
      <c r="H61" s="18">
        <f>SUMIFS(InAmt,InWk,7,InCust,CustUsed)*(1-ScenDrop)</f>
        <v/>
      </c>
      <c r="I61" s="18">
        <f>SUMIFS(InAmt,InWk,8,InCust,CustUsed)*(1-ScenDrop)</f>
        <v/>
      </c>
      <c r="J61" s="18">
        <f>SUMIFS(InAmt,InWk,9,InCust,CustUsed)*(1-ScenDrop)</f>
        <v/>
      </c>
      <c r="K61" s="18">
        <f>SUMIFS(InAmt,InWk,10,InCust,CustUsed)*(1-ScenDrop)</f>
        <v/>
      </c>
      <c r="L61" s="18">
        <f>SUMIFS(InAmt,InWk,11,InCust,CustUsed)*(1-ScenDrop)</f>
        <v/>
      </c>
      <c r="M61" s="18">
        <f>SUMIFS(InAmt,InWk,12,InCust,CustUsed)*(1-ScenDrop)</f>
        <v/>
      </c>
      <c r="N61" s="18">
        <f>SUMIFS(InAmt,InWk,13,InCust,CustUsed)*(1-ScenDrop)</f>
        <v/>
      </c>
    </row>
    <row r="62">
      <c r="A62" s="20" t="inlineStr">
        <is>
          <t>Cash coming in</t>
        </is>
      </c>
      <c r="B62" s="18">
        <f>IF(1-ScenLate&lt;1,0,INDEX(ScenRest,1,1-ScenLate))+IF(1-ScenLate-ScenBigLate&lt;1,0,INDEX(ScenBig,1,1-ScenLate-ScenBigLate))</f>
        <v/>
      </c>
      <c r="C62" s="18">
        <f>IF(2-ScenLate&lt;1,0,INDEX(ScenRest,1,2-ScenLate))+IF(2-ScenLate-ScenBigLate&lt;1,0,INDEX(ScenBig,1,2-ScenLate-ScenBigLate))</f>
        <v/>
      </c>
      <c r="D62" s="18">
        <f>IF(3-ScenLate&lt;1,0,INDEX(ScenRest,1,3-ScenLate))+IF(3-ScenLate-ScenBigLate&lt;1,0,INDEX(ScenBig,1,3-ScenLate-ScenBigLate))</f>
        <v/>
      </c>
      <c r="E62" s="18">
        <f>IF(4-ScenLate&lt;1,0,INDEX(ScenRest,1,4-ScenLate))+IF(4-ScenLate-ScenBigLate&lt;1,0,INDEX(ScenBig,1,4-ScenLate-ScenBigLate))</f>
        <v/>
      </c>
      <c r="F62" s="18">
        <f>IF(5-ScenLate&lt;1,0,INDEX(ScenRest,1,5-ScenLate))+IF(5-ScenLate-ScenBigLate&lt;1,0,INDEX(ScenBig,1,5-ScenLate-ScenBigLate))</f>
        <v/>
      </c>
      <c r="G62" s="18">
        <f>IF(6-ScenLate&lt;1,0,INDEX(ScenRest,1,6-ScenLate))+IF(6-ScenLate-ScenBigLate&lt;1,0,INDEX(ScenBig,1,6-ScenLate-ScenBigLate))</f>
        <v/>
      </c>
      <c r="H62" s="18">
        <f>IF(7-ScenLate&lt;1,0,INDEX(ScenRest,1,7-ScenLate))+IF(7-ScenLate-ScenBigLate&lt;1,0,INDEX(ScenBig,1,7-ScenLate-ScenBigLate))</f>
        <v/>
      </c>
      <c r="I62" s="18">
        <f>IF(8-ScenLate&lt;1,0,INDEX(ScenRest,1,8-ScenLate))+IF(8-ScenLate-ScenBigLate&lt;1,0,INDEX(ScenBig,1,8-ScenLate-ScenBigLate))</f>
        <v/>
      </c>
      <c r="J62" s="18">
        <f>IF(9-ScenLate&lt;1,0,INDEX(ScenRest,1,9-ScenLate))+IF(9-ScenLate-ScenBigLate&lt;1,0,INDEX(ScenBig,1,9-ScenLate-ScenBigLate))</f>
        <v/>
      </c>
      <c r="K62" s="18">
        <f>IF(10-ScenLate&lt;1,0,INDEX(ScenRest,1,10-ScenLate))+IF(10-ScenLate-ScenBigLate&lt;1,0,INDEX(ScenBig,1,10-ScenLate-ScenBigLate))</f>
        <v/>
      </c>
      <c r="L62" s="18">
        <f>IF(11-ScenLate&lt;1,0,INDEX(ScenRest,1,11-ScenLate))+IF(11-ScenLate-ScenBigLate&lt;1,0,INDEX(ScenBig,1,11-ScenLate-ScenBigLate))</f>
        <v/>
      </c>
      <c r="M62" s="18">
        <f>IF(12-ScenLate&lt;1,0,INDEX(ScenRest,1,12-ScenLate))+IF(12-ScenLate-ScenBigLate&lt;1,0,INDEX(ScenBig,1,12-ScenLate-ScenBigLate))</f>
        <v/>
      </c>
      <c r="N62" s="18">
        <f>IF(13-ScenLate&lt;1,0,INDEX(ScenRest,1,13-ScenLate))+IF(13-ScenLate-ScenBigLate&lt;1,0,INDEX(ScenBig,1,13-ScenLate-ScenBigLate))</f>
        <v/>
      </c>
    </row>
    <row r="63">
      <c r="A63" s="20" t="inlineStr">
        <is>
          <t>Cash going out</t>
        </is>
      </c>
      <c r="B63" s="18">
        <f>INDEX(FcOut,1,1)+IF(1=ScenCostWeek,ScenCost,0)</f>
        <v/>
      </c>
      <c r="C63" s="18">
        <f>INDEX(FcOut,1,2)+IF(2=ScenCostWeek,ScenCost,0)</f>
        <v/>
      </c>
      <c r="D63" s="18">
        <f>INDEX(FcOut,1,3)+IF(3=ScenCostWeek,ScenCost,0)</f>
        <v/>
      </c>
      <c r="E63" s="18">
        <f>INDEX(FcOut,1,4)+IF(4=ScenCostWeek,ScenCost,0)</f>
        <v/>
      </c>
      <c r="F63" s="18">
        <f>INDEX(FcOut,1,5)+IF(5=ScenCostWeek,ScenCost,0)</f>
        <v/>
      </c>
      <c r="G63" s="18">
        <f>INDEX(FcOut,1,6)+IF(6=ScenCostWeek,ScenCost,0)</f>
        <v/>
      </c>
      <c r="H63" s="18">
        <f>INDEX(FcOut,1,7)+IF(7=ScenCostWeek,ScenCost,0)</f>
        <v/>
      </c>
      <c r="I63" s="18">
        <f>INDEX(FcOut,1,8)+IF(8=ScenCostWeek,ScenCost,0)</f>
        <v/>
      </c>
      <c r="J63" s="18">
        <f>INDEX(FcOut,1,9)+IF(9=ScenCostWeek,ScenCost,0)</f>
        <v/>
      </c>
      <c r="K63" s="18">
        <f>INDEX(FcOut,1,10)+IF(10=ScenCostWeek,ScenCost,0)</f>
        <v/>
      </c>
      <c r="L63" s="18">
        <f>INDEX(FcOut,1,11)+IF(11=ScenCostWeek,ScenCost,0)</f>
        <v/>
      </c>
      <c r="M63" s="18">
        <f>INDEX(FcOut,1,12)+IF(12=ScenCostWeek,ScenCost,0)</f>
        <v/>
      </c>
      <c r="N63" s="18">
        <f>INDEX(FcOut,1,13)+IF(13=ScenCostWeek,ScenCost,0)</f>
        <v/>
      </c>
    </row>
    <row r="64">
      <c r="A64" s="37" t="inlineStr">
        <is>
          <t>Closing balance</t>
        </is>
      </c>
      <c r="B64" s="61">
        <f>OpeningBal+B62-B63</f>
        <v/>
      </c>
      <c r="C64" s="61">
        <f>B64+C62-C63</f>
        <v/>
      </c>
      <c r="D64" s="61">
        <f>C64+D62-D63</f>
        <v/>
      </c>
      <c r="E64" s="61">
        <f>D64+E62-E63</f>
        <v/>
      </c>
      <c r="F64" s="61">
        <f>E64+F62-F63</f>
        <v/>
      </c>
      <c r="G64" s="61">
        <f>F64+G62-G63</f>
        <v/>
      </c>
      <c r="H64" s="61">
        <f>G64+H62-H63</f>
        <v/>
      </c>
      <c r="I64" s="61">
        <f>H64+I62-I63</f>
        <v/>
      </c>
      <c r="J64" s="61">
        <f>I64+J62-J63</f>
        <v/>
      </c>
      <c r="K64" s="61">
        <f>J64+K62-K63</f>
        <v/>
      </c>
      <c r="L64" s="61">
        <f>K64+L62-L63</f>
        <v/>
      </c>
      <c r="M64" s="61">
        <f>L64+M62-M63</f>
        <v/>
      </c>
      <c r="N64" s="61">
        <f>M64+N62-N63</f>
        <v/>
      </c>
    </row>
    <row r="65">
      <c r="A65" s="20" t="inlineStr">
        <is>
          <t>Below the buffer, 1 means yes</t>
        </is>
      </c>
      <c r="B65" s="58">
        <f>IF(B64&lt;CashBuffer,1,0)</f>
        <v/>
      </c>
      <c r="C65" s="58">
        <f>IF(C64&lt;CashBuffer,1,0)</f>
        <v/>
      </c>
      <c r="D65" s="58">
        <f>IF(D64&lt;CashBuffer,1,0)</f>
        <v/>
      </c>
      <c r="E65" s="58">
        <f>IF(E64&lt;CashBuffer,1,0)</f>
        <v/>
      </c>
      <c r="F65" s="58">
        <f>IF(F64&lt;CashBuffer,1,0)</f>
        <v/>
      </c>
      <c r="G65" s="58">
        <f>IF(G64&lt;CashBuffer,1,0)</f>
        <v/>
      </c>
      <c r="H65" s="58">
        <f>IF(H64&lt;CashBuffer,1,0)</f>
        <v/>
      </c>
      <c r="I65" s="58">
        <f>IF(I64&lt;CashBuffer,1,0)</f>
        <v/>
      </c>
      <c r="J65" s="58">
        <f>IF(J64&lt;CashBuffer,1,0)</f>
        <v/>
      </c>
      <c r="K65" s="58">
        <f>IF(K64&lt;CashBuffer,1,0)</f>
        <v/>
      </c>
      <c r="L65" s="58">
        <f>IF(L64&lt;CashBuffer,1,0)</f>
        <v/>
      </c>
      <c r="M65" s="58">
        <f>IF(M64&lt;CashBuffer,1,0)</f>
        <v/>
      </c>
      <c r="N65" s="58">
        <f>IF(N64&lt;CashBuffer,1,0)</f>
        <v/>
      </c>
    </row>
    <row r="66" ht="24" customHeight="1">
      <c r="A66" s="6" t="inlineStr">
        <is>
          <t>Note: All four at once, which is what usually happens, because the reason sales fell is often the reason customers are slow.</t>
        </is>
      </c>
    </row>
    <row r="67"/>
    <row r="68" ht="26" customHeight="1">
      <c r="A68" s="6" t="inlineStr">
        <is>
          <t>Note: The point of this sheet is that you see the problem in week 3 rather than week 9. A shortfall you can see nine weeks out is a phone call. The same shortfall on the day is an emergency loan at a bad rate.</t>
        </is>
      </c>
    </row>
    <row r="69" ht="26" customHeight="1">
      <c r="A69" s="6" t="inlineStr">
        <is>
          <t>Note: The combined worst case is not pessimism. The reason sales fall is very often the same reason customers slow down, so the four rarely arrive one at a time.</t>
        </is>
      </c>
    </row>
    <row r="70" ht="26" customHeight="1">
      <c r="A70" s="6" t="inlineStr">
        <is>
          <t>Note: this template is a tool, not financial or legal advice for your particular situation. Speak to your accountant before you act on a number that matters.</t>
        </is>
      </c>
    </row>
  </sheetData>
  <mergeCells count="26">
    <mergeCell ref="A40:N40"/>
    <mergeCell ref="B11:D11"/>
    <mergeCell ref="E11:N11"/>
    <mergeCell ref="H19:N19"/>
    <mergeCell ref="C10:N10"/>
    <mergeCell ref="H22:N22"/>
    <mergeCell ref="A48:N48"/>
    <mergeCell ref="C9:N9"/>
    <mergeCell ref="H18:N18"/>
    <mergeCell ref="A1:N1"/>
    <mergeCell ref="A70:N70"/>
    <mergeCell ref="H23:N23"/>
    <mergeCell ref="A69:N69"/>
    <mergeCell ref="E12:N12"/>
    <mergeCell ref="A7:N7"/>
    <mergeCell ref="H20:N20"/>
    <mergeCell ref="A66:N66"/>
    <mergeCell ref="A56:N56"/>
    <mergeCell ref="A2:N2"/>
    <mergeCell ref="C13:N13"/>
    <mergeCell ref="H21:N21"/>
    <mergeCell ref="A32:N32"/>
    <mergeCell ref="C15:N15"/>
    <mergeCell ref="C14:N14"/>
    <mergeCell ref="A68:N68"/>
    <mergeCell ref="B12:D12"/>
  </mergeCells>
  <conditionalFormatting sqref="B30:N30">
    <cfRule type="expression" priority="1" dxfId="0" stopIfTrue="1">
      <formula>B30&lt;CashBuffer</formula>
    </cfRule>
    <cfRule type="expression" priority="2" dxfId="1" stopIfTrue="1">
      <formula>B30&lt;CashBuffer*AmberMult</formula>
    </cfRule>
    <cfRule type="expression" priority="3" dxfId="2" stopIfTrue="0">
      <formula>B30&gt;=CashBuffer*AmberMult</formula>
    </cfRule>
  </conditionalFormatting>
  <conditionalFormatting sqref="B38:N38">
    <cfRule type="expression" priority="4" dxfId="0" stopIfTrue="1">
      <formula>B38&lt;CashBuffer</formula>
    </cfRule>
    <cfRule type="expression" priority="5" dxfId="1" stopIfTrue="1">
      <formula>B38&lt;CashBuffer*AmberMult</formula>
    </cfRule>
    <cfRule type="expression" priority="6" dxfId="2" stopIfTrue="0">
      <formula>B38&gt;=CashBuffer*AmberMult</formula>
    </cfRule>
  </conditionalFormatting>
  <conditionalFormatting sqref="B46:N46">
    <cfRule type="expression" priority="7" dxfId="0" stopIfTrue="1">
      <formula>B46&lt;CashBuffer</formula>
    </cfRule>
    <cfRule type="expression" priority="8" dxfId="1" stopIfTrue="1">
      <formula>B46&lt;CashBuffer*AmberMult</formula>
    </cfRule>
    <cfRule type="expression" priority="9" dxfId="2" stopIfTrue="0">
      <formula>B46&gt;=CashBuffer*AmberMult</formula>
    </cfRule>
  </conditionalFormatting>
  <conditionalFormatting sqref="B54:N54">
    <cfRule type="expression" priority="10" dxfId="0" stopIfTrue="1">
      <formula>B54&lt;CashBuffer</formula>
    </cfRule>
    <cfRule type="expression" priority="11" dxfId="1" stopIfTrue="1">
      <formula>B54&lt;CashBuffer*AmberMult</formula>
    </cfRule>
    <cfRule type="expression" priority="12" dxfId="2" stopIfTrue="0">
      <formula>B54&gt;=CashBuffer*AmberMult</formula>
    </cfRule>
  </conditionalFormatting>
  <conditionalFormatting sqref="B64:N64">
    <cfRule type="expression" priority="13" dxfId="0" stopIfTrue="1">
      <formula>B64&lt;CashBuffer</formula>
    </cfRule>
    <cfRule type="expression" priority="14" dxfId="1" stopIfTrue="1">
      <formula>B64&lt;CashBuffer*AmberMult</formula>
    </cfRule>
    <cfRule type="expression" priority="15" dxfId="2" stopIfTrue="0">
      <formula>B64&gt;=CashBuffer*AmberMult</formula>
    </cfRule>
  </conditionalFormatting>
  <conditionalFormatting sqref="B19:B23">
    <cfRule type="expression" priority="16" dxfId="0" stopIfTrue="1">
      <formula>B19&lt;CashBuffer</formula>
    </cfRule>
    <cfRule type="expression" priority="17" dxfId="2" stopIfTrue="0">
      <formula>B19&gt;=CashBuffer</formula>
    </cfRule>
  </conditionalFormatting>
  <conditionalFormatting sqref="E19:E23">
    <cfRule type="expression" priority="18" dxfId="0" stopIfTrue="1">
      <formula>E19="Yes"</formula>
    </cfRule>
    <cfRule type="expression" priority="19" dxfId="2" stopIfTrue="0">
      <formula>E19="No"</formula>
    </cfRule>
  </conditionalFormatting>
  <conditionalFormatting sqref="F19:F23">
    <cfRule type="expression" priority="20" dxfId="0" stopIfTrue="0">
      <formula>F19&gt;0</formula>
    </cfRule>
  </conditionalFormatting>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8"/>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16" customWidth="1" min="3" max="3"/>
    <col width="16" customWidth="1" min="4" max="4"/>
    <col width="16" customWidth="1" min="5" max="5"/>
    <col width="16" customWidth="1" min="6" max="6"/>
    <col width="18" customWidth="1" min="7" max="7"/>
    <col width="52" customWidth="1" min="8" max="8"/>
  </cols>
  <sheetData>
    <row r="1" ht="26" customHeight="1">
      <c r="A1" s="1" t="inlineStr">
        <is>
          <t>MONTHLY SUMMARY</t>
        </is>
      </c>
    </row>
    <row r="2" ht="14" customHeight="1">
      <c r="A2" s="2" t="inlineStr">
        <is>
          <t>The same forecast in three monthly blocks, with a verdict against every measure and a running check on how good your guesses are.</t>
        </is>
      </c>
    </row>
    <row r="3" ht="4" customHeight="1"/>
    <row r="4" ht="15" customHeight="1">
      <c r="A4" s="3" t="inlineStr">
        <is>
          <t>[YOUR COMPANY NAME]</t>
        </is>
      </c>
      <c r="H4" s="4" t="inlineStr">
        <is>
          <t>[ Insert your logo in the space above ]</t>
        </is>
      </c>
    </row>
    <row r="5" ht="15" customHeight="1">
      <c r="A5" s="5" t="inlineStr">
        <is>
          <t>Reg No: [XXXX/XXXXXX/XX]</t>
        </is>
      </c>
      <c r="H5" s="4" t="inlineStr">
        <is>
          <t>VAT No: [4XXXXXXXXX] (if VAT registered)</t>
        </is>
      </c>
    </row>
    <row r="6" ht="15" customHeight="1">
      <c r="A6" s="5" t="inlineStr">
        <is>
          <t>[email@yourbusiness.co.za]</t>
        </is>
      </c>
      <c r="H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THE QUARTER IN THREE MONTHS</t>
        </is>
      </c>
      <c r="B8" s="7" t="n"/>
      <c r="C8" s="7" t="n"/>
      <c r="D8" s="7" t="n"/>
      <c r="E8" s="7" t="n"/>
      <c r="F8" s="7" t="n"/>
      <c r="G8" s="7" t="n"/>
      <c r="H8" s="7" t="n"/>
    </row>
    <row r="9" ht="30" customHeight="1">
      <c r="A9" s="13" t="inlineStr">
        <is>
          <t>MONTH</t>
        </is>
      </c>
      <c r="B9" s="13" t="inlineStr">
        <is>
          <t>OPENING BALANCE</t>
        </is>
      </c>
      <c r="C9" s="13" t="inlineStr">
        <is>
          <t>CASH IN</t>
        </is>
      </c>
      <c r="D9" s="13" t="inlineStr">
        <is>
          <t>CASH OUT</t>
        </is>
      </c>
      <c r="E9" s="13" t="inlineStr">
        <is>
          <t>NET MOVEMENT</t>
        </is>
      </c>
      <c r="F9" s="13" t="inlineStr">
        <is>
          <t>CLOSING BALANCE</t>
        </is>
      </c>
      <c r="G9" s="13" t="inlineStr">
        <is>
          <t>LOWEST WEEK IN THE BLOCK</t>
        </is>
      </c>
      <c r="H9" s="13" t="inlineStr">
        <is>
          <t>WHAT TO LOOK AT</t>
        </is>
      </c>
    </row>
    <row r="10">
      <c r="A10" s="37" t="inlineStr">
        <is>
          <t>Month 1, weeks 1 to 4</t>
        </is>
      </c>
      <c r="B10" s="12">
        <f>'13 Week Forecast'!B20</f>
        <v/>
      </c>
      <c r="C10" s="12">
        <f>SUM('13 Week Forecast'!B32:E32)</f>
        <v/>
      </c>
      <c r="D10" s="12">
        <f>SUM('13 Week Forecast'!B54:E54)</f>
        <v/>
      </c>
      <c r="E10" s="12">
        <f>C10-D10</f>
        <v/>
      </c>
      <c r="F10" s="12">
        <f>'13 Week Forecast'!E57</f>
        <v/>
      </c>
      <c r="G10" s="12">
        <f>MIN('13 Week Forecast'!B57:E57)</f>
        <v/>
      </c>
      <c r="H10" s="6" t="inlineStr">
        <is>
          <t>The month you can still do something about.</t>
        </is>
      </c>
    </row>
    <row r="11">
      <c r="A11" s="37" t="inlineStr">
        <is>
          <t>Month 2, weeks 5 to 8</t>
        </is>
      </c>
      <c r="B11" s="12">
        <f>'13 Week Forecast'!F20</f>
        <v/>
      </c>
      <c r="C11" s="12">
        <f>SUM('13 Week Forecast'!F32:I32)</f>
        <v/>
      </c>
      <c r="D11" s="12">
        <f>SUM('13 Week Forecast'!F54:I54)</f>
        <v/>
      </c>
      <c r="E11" s="12">
        <f>C11-D11</f>
        <v/>
      </c>
      <c r="F11" s="12">
        <f>'13 Week Forecast'!I57</f>
        <v/>
      </c>
      <c r="G11" s="12">
        <f>MIN('13 Week Forecast'!F57:I57)</f>
        <v/>
      </c>
      <c r="H11" s="6" t="inlineStr">
        <is>
          <t>Far enough out to move a payment or chase a debtor.</t>
        </is>
      </c>
    </row>
    <row r="12">
      <c r="A12" s="37" t="inlineStr">
        <is>
          <t>Month 3, weeks 9 to 13</t>
        </is>
      </c>
      <c r="B12" s="12">
        <f>'13 Week Forecast'!J20</f>
        <v/>
      </c>
      <c r="C12" s="12">
        <f>SUM('13 Week Forecast'!J32:N32)</f>
        <v/>
      </c>
      <c r="D12" s="12">
        <f>SUM('13 Week Forecast'!J54:N54)</f>
        <v/>
      </c>
      <c r="E12" s="12">
        <f>C12-D12</f>
        <v/>
      </c>
      <c r="F12" s="12">
        <f>'13 Week Forecast'!N57</f>
        <v/>
      </c>
      <c r="G12" s="12">
        <f>MIN('13 Week Forecast'!J57:N57)</f>
        <v/>
      </c>
      <c r="H12" s="6" t="inlineStr">
        <is>
          <t>A guess, but a useful one. Update it as the weeks arrive.</t>
        </is>
      </c>
    </row>
    <row r="13">
      <c r="A13" s="23" t="inlineStr">
        <is>
          <t>THIRTEEN WEEKS IN TOTAL</t>
        </is>
      </c>
      <c r="B13" s="24">
        <f>B10</f>
        <v/>
      </c>
      <c r="C13" s="24">
        <f>SUM(C10:C12)</f>
        <v/>
      </c>
      <c r="D13" s="24">
        <f>SUM(D10:D12)</f>
        <v/>
      </c>
      <c r="E13" s="24">
        <f>C13-D13</f>
        <v/>
      </c>
      <c r="F13" s="24">
        <f>F12</f>
        <v/>
      </c>
      <c r="G13" s="24">
        <f>MIN(G10:G12)</f>
        <v/>
      </c>
      <c r="H13" s="24" t="inlineStr"/>
    </row>
    <row r="14"/>
    <row r="15" ht="22" customHeight="1">
      <c r="A15" s="7" t="inlineStr">
        <is>
          <t>WHAT THE NUMBERS SAY</t>
        </is>
      </c>
      <c r="B15" s="7" t="n"/>
      <c r="C15" s="7" t="n"/>
      <c r="D15" s="7" t="n"/>
      <c r="E15" s="7" t="n"/>
      <c r="F15" s="7" t="n"/>
      <c r="G15" s="7" t="n"/>
      <c r="H15" s="7" t="n"/>
    </row>
    <row r="16" ht="26" customHeight="1">
      <c r="A16" s="13" t="inlineStr">
        <is>
          <t>MEASURE</t>
        </is>
      </c>
      <c r="B16" s="13" t="inlineStr">
        <is>
          <t>FIGURE</t>
        </is>
      </c>
      <c r="C16" s="13" t="inlineStr">
        <is>
          <t>VERDICT</t>
        </is>
      </c>
      <c r="D16" s="35" t="n"/>
      <c r="E16" s="35" t="n"/>
      <c r="F16" s="13" t="inlineStr">
        <is>
          <t>WHAT IT MEANS</t>
        </is>
      </c>
      <c r="G16" s="35" t="n"/>
      <c r="H16" s="35" t="n"/>
    </row>
    <row r="17" ht="32" customHeight="1">
      <c r="A17" s="37" t="inlineStr">
        <is>
          <t>Average cash out a week</t>
        </is>
      </c>
      <c r="B17" s="12">
        <f>IF(D13=0,"",D13/13)</f>
        <v/>
      </c>
      <c r="C17" s="59">
        <f>IF(B17="","Fill in the forecast.",IF(B17=0,"Nothing going out yet.","Multiply by four and you have a sensible buffer: "&amp;TEXT(B17*4,"""R"" #,##0.00")&amp;"."))</f>
        <v/>
      </c>
      <c r="D17" s="35" t="n"/>
      <c r="E17" s="35" t="n"/>
      <c r="F17" s="6" t="inlineStr">
        <is>
          <t>Your burn rate. Four weeks of it is the usual minimum buffer.</t>
        </is>
      </c>
    </row>
    <row r="18" ht="32" customHeight="1">
      <c r="A18" s="37" t="inlineStr">
        <is>
          <t>Lowest closing balance in the 13 weeks</t>
        </is>
      </c>
      <c r="B18" s="12">
        <f>MIN('13 Week Forecast'!B57:N57)</f>
        <v/>
      </c>
      <c r="C18" s="59">
        <f>IF(Week1="","Fill in the forecast.",IF(B18&gt;=CashBuffer,"Above your buffer. You hold.","Below your buffer by "&amp;TEXT(CashBuffer-B18,"""R"" #,##0.00")&amp;". Fix this first."))</f>
        <v/>
      </c>
      <c r="D18" s="35" t="n"/>
      <c r="E18" s="35" t="n"/>
      <c r="F18" s="6" t="inlineStr">
        <is>
          <t>Not the closing balance in week 13, but the worst point along the way. This is the number that matters.</t>
        </is>
      </c>
    </row>
    <row r="19" ht="32" customHeight="1">
      <c r="A19" s="37" t="inlineStr">
        <is>
          <t>Weeks below your buffer</t>
        </is>
      </c>
      <c r="B19" s="62">
        <f>COUNTIF('13 Week Forecast'!B57:N57,"&lt;"&amp;CashBuffer)</f>
        <v/>
      </c>
      <c r="C19" s="59">
        <f>IF(B19=0,"None. Keep it that way.",IF(B19&lt;=2,"A short dip. Move one payment and it goes away.","This is not a dip, it is a shortfall. Something structural has to change."))</f>
        <v/>
      </c>
      <c r="D19" s="35" t="n"/>
      <c r="E19" s="35" t="n"/>
      <c r="F19" s="6" t="inlineStr">
        <is>
          <t>Any number above zero needs a plan, not a hope.</t>
        </is>
      </c>
    </row>
    <row r="20" ht="32" customHeight="1">
      <c r="A20" s="37" t="inlineStr">
        <is>
          <t>Weeks of cover at the end</t>
        </is>
      </c>
      <c r="B20" s="63">
        <f>IF(D13=0,"",'13 Week Forecast'!N57/(D13/13))</f>
        <v/>
      </c>
      <c r="C20" s="59">
        <f>IF(B20="","Fill in the forecast.",IF(B20&lt;2,"Under two weeks. This is an emergency.",IF(B20&lt;4,"Under four weeks. Tight. Build the buffer.","Four weeks or more. Comfortable.")))</f>
        <v/>
      </c>
      <c r="D20" s="35" t="n"/>
      <c r="E20" s="35" t="n"/>
      <c r="F20" s="6" t="inlineStr">
        <is>
          <t>Closing balance in week 13 divided by your average weekly cash out.</t>
        </is>
      </c>
    </row>
    <row r="21" ht="32" customHeight="1">
      <c r="A21" s="37" t="inlineStr">
        <is>
          <t>Weeks updated with actuals</t>
        </is>
      </c>
      <c r="B21" s="62">
        <f>COUNTIF('13 Week Forecast'!B18:N18,"Actual")</f>
        <v/>
      </c>
      <c r="C21" s="59">
        <f>IF(B21=0,"You have not updated anything yet. Do it every Monday.",IF(B21&lt;3,"A start. Keep going.","Enough to measure your accuracy properly, below."))</f>
        <v/>
      </c>
      <c r="D21" s="35" t="n"/>
      <c r="E21" s="35" t="n"/>
      <c r="F21" s="6" t="inlineStr">
        <is>
          <t>A forecast nobody updates stops being true within a month.</t>
        </is>
      </c>
    </row>
    <row r="22" ht="32" customHeight="1">
      <c r="A22" s="37" t="inlineStr">
        <is>
          <t>Cash conversion on the quarter</t>
        </is>
      </c>
      <c r="B22" s="64">
        <f>IF(C13=0,"",E13/C13)</f>
        <v/>
      </c>
      <c r="C22" s="59">
        <f>IF(B22="","Fill in the forecast.",IF(B22&lt;0,"Negative. The business ate cash this quarter.","Positive. The business made cash this quarter."))</f>
        <v/>
      </c>
      <c r="D22" s="35" t="n"/>
      <c r="E22" s="35" t="n"/>
      <c r="F22" s="6" t="inlineStr">
        <is>
          <t>Net movement as a share of everything that came in.</t>
        </is>
      </c>
    </row>
    <row r="23"/>
    <row r="24" ht="22" customHeight="1">
      <c r="A24" s="7" t="inlineStr">
        <is>
          <t>FORECAST AGAINST ACTUAL</t>
        </is>
      </c>
      <c r="B24" s="7" t="n"/>
      <c r="C24" s="7" t="n"/>
      <c r="D24" s="7" t="n"/>
      <c r="E24" s="7" t="n"/>
      <c r="F24" s="7" t="n"/>
      <c r="G24" s="7" t="n"/>
      <c r="H24" s="7" t="n"/>
    </row>
    <row r="25" ht="32" customHeight="1">
      <c r="A25" s="6" t="inlineStr">
        <is>
          <t>Note: Before you overwrite a week on the forecast sheet with what really happened, copy the figure you had forecast into the column below. Then mark the week Actual. A forecast that is reliably 15 percent optimistic is useful the moment you know it is.</t>
        </is>
      </c>
    </row>
    <row r="26" ht="30" customHeight="1">
      <c r="A26" s="13" t="inlineStr">
        <is>
          <t>WEEK</t>
        </is>
      </c>
      <c r="B26" s="13" t="inlineStr">
        <is>
          <t>WEEK STARTING</t>
        </is>
      </c>
      <c r="C26" s="13" t="inlineStr">
        <is>
          <t>STATUS</t>
        </is>
      </c>
      <c r="D26" s="13" t="inlineStr">
        <is>
          <t>CASH IN YOU FORECAST</t>
        </is>
      </c>
      <c r="E26" s="13" t="inlineStr">
        <is>
          <t>CASH IN THAT HAPPENED</t>
        </is>
      </c>
      <c r="F26" s="13" t="inlineStr">
        <is>
          <t>DIFFERENCE</t>
        </is>
      </c>
      <c r="G26" s="13" t="inlineStr">
        <is>
          <t>ACCURACY THIS WEEK</t>
        </is>
      </c>
      <c r="H26" s="13" t="inlineStr">
        <is>
          <t>WHAT IT SAYS</t>
        </is>
      </c>
    </row>
    <row r="27">
      <c r="A27" s="20" t="inlineStr">
        <is>
          <t>Week 1</t>
        </is>
      </c>
      <c r="B27" s="16">
        <f>'13 Week Forecast'!B17</f>
        <v/>
      </c>
      <c r="C27" s="46">
        <f>'13 Week Forecast'!B18</f>
        <v/>
      </c>
      <c r="D27" s="22" t="n"/>
      <c r="E27" s="18">
        <f>IF(C27&lt;&gt;"Actual","",'13 Week Forecast'!B32)</f>
        <v/>
      </c>
      <c r="F27" s="18">
        <f>IF(E27="","",E27-D27)</f>
        <v/>
      </c>
      <c r="G27" s="45">
        <f>IF(D27=0,"",IF(E27="","",E27/D27))</f>
        <v/>
      </c>
      <c r="H27" s="65">
        <f>IF(F27="","",IF(F27&lt;0,"You were "&amp;TEXT(-F27,"""R"" #,##0.00")&amp;" too optimistic.",IF(F27&gt;0,"You were "&amp;TEXT(F27,"""R"" #,##0.00")&amp;" too careful.","Exactly right.")))</f>
        <v/>
      </c>
    </row>
    <row r="28">
      <c r="A28" s="20" t="inlineStr">
        <is>
          <t>Week 2</t>
        </is>
      </c>
      <c r="B28" s="16">
        <f>'13 Week Forecast'!C17</f>
        <v/>
      </c>
      <c r="C28" s="46">
        <f>'13 Week Forecast'!C18</f>
        <v/>
      </c>
      <c r="D28" s="22" t="n"/>
      <c r="E28" s="18">
        <f>IF(C28&lt;&gt;"Actual","",'13 Week Forecast'!C32)</f>
        <v/>
      </c>
      <c r="F28" s="18">
        <f>IF(E28="","",E28-D28)</f>
        <v/>
      </c>
      <c r="G28" s="45">
        <f>IF(D28=0,"",IF(E28="","",E28/D28))</f>
        <v/>
      </c>
      <c r="H28" s="65">
        <f>IF(F28="","",IF(F28&lt;0,"You were "&amp;TEXT(-F28,"""R"" #,##0.00")&amp;" too optimistic.",IF(F28&gt;0,"You were "&amp;TEXT(F28,"""R"" #,##0.00")&amp;" too careful.","Exactly right.")))</f>
        <v/>
      </c>
    </row>
    <row r="29">
      <c r="A29" s="20" t="inlineStr">
        <is>
          <t>Week 3</t>
        </is>
      </c>
      <c r="B29" s="16">
        <f>'13 Week Forecast'!D17</f>
        <v/>
      </c>
      <c r="C29" s="46">
        <f>'13 Week Forecast'!D18</f>
        <v/>
      </c>
      <c r="D29" s="22" t="n"/>
      <c r="E29" s="18">
        <f>IF(C29&lt;&gt;"Actual","",'13 Week Forecast'!D32)</f>
        <v/>
      </c>
      <c r="F29" s="18">
        <f>IF(E29="","",E29-D29)</f>
        <v/>
      </c>
      <c r="G29" s="45">
        <f>IF(D29=0,"",IF(E29="","",E29/D29))</f>
        <v/>
      </c>
      <c r="H29" s="65">
        <f>IF(F29="","",IF(F29&lt;0,"You were "&amp;TEXT(-F29,"""R"" #,##0.00")&amp;" too optimistic.",IF(F29&gt;0,"You were "&amp;TEXT(F29,"""R"" #,##0.00")&amp;" too careful.","Exactly right.")))</f>
        <v/>
      </c>
    </row>
    <row r="30">
      <c r="A30" s="20" t="inlineStr">
        <is>
          <t>Week 4</t>
        </is>
      </c>
      <c r="B30" s="16">
        <f>'13 Week Forecast'!E17</f>
        <v/>
      </c>
      <c r="C30" s="46">
        <f>'13 Week Forecast'!E18</f>
        <v/>
      </c>
      <c r="D30" s="22" t="n"/>
      <c r="E30" s="18">
        <f>IF(C30&lt;&gt;"Actual","",'13 Week Forecast'!E32)</f>
        <v/>
      </c>
      <c r="F30" s="18">
        <f>IF(E30="","",E30-D30)</f>
        <v/>
      </c>
      <c r="G30" s="45">
        <f>IF(D30=0,"",IF(E30="","",E30/D30))</f>
        <v/>
      </c>
      <c r="H30" s="65">
        <f>IF(F30="","",IF(F30&lt;0,"You were "&amp;TEXT(-F30,"""R"" #,##0.00")&amp;" too optimistic.",IF(F30&gt;0,"You were "&amp;TEXT(F30,"""R"" #,##0.00")&amp;" too careful.","Exactly right.")))</f>
        <v/>
      </c>
    </row>
    <row r="31">
      <c r="A31" s="20" t="inlineStr">
        <is>
          <t>Week 5</t>
        </is>
      </c>
      <c r="B31" s="16">
        <f>'13 Week Forecast'!F17</f>
        <v/>
      </c>
      <c r="C31" s="46">
        <f>'13 Week Forecast'!F18</f>
        <v/>
      </c>
      <c r="D31" s="22" t="n"/>
      <c r="E31" s="18">
        <f>IF(C31&lt;&gt;"Actual","",'13 Week Forecast'!F32)</f>
        <v/>
      </c>
      <c r="F31" s="18">
        <f>IF(E31="","",E31-D31)</f>
        <v/>
      </c>
      <c r="G31" s="45">
        <f>IF(D31=0,"",IF(E31="","",E31/D31))</f>
        <v/>
      </c>
      <c r="H31" s="65">
        <f>IF(F31="","",IF(F31&lt;0,"You were "&amp;TEXT(-F31,"""R"" #,##0.00")&amp;" too optimistic.",IF(F31&gt;0,"You were "&amp;TEXT(F31,"""R"" #,##0.00")&amp;" too careful.","Exactly right.")))</f>
        <v/>
      </c>
    </row>
    <row r="32">
      <c r="A32" s="20" t="inlineStr">
        <is>
          <t>Week 6</t>
        </is>
      </c>
      <c r="B32" s="16">
        <f>'13 Week Forecast'!G17</f>
        <v/>
      </c>
      <c r="C32" s="46">
        <f>'13 Week Forecast'!G18</f>
        <v/>
      </c>
      <c r="D32" s="22" t="n"/>
      <c r="E32" s="18">
        <f>IF(C32&lt;&gt;"Actual","",'13 Week Forecast'!G32)</f>
        <v/>
      </c>
      <c r="F32" s="18">
        <f>IF(E32="","",E32-D32)</f>
        <v/>
      </c>
      <c r="G32" s="45">
        <f>IF(D32=0,"",IF(E32="","",E32/D32))</f>
        <v/>
      </c>
      <c r="H32" s="65">
        <f>IF(F32="","",IF(F32&lt;0,"You were "&amp;TEXT(-F32,"""R"" #,##0.00")&amp;" too optimistic.",IF(F32&gt;0,"You were "&amp;TEXT(F32,"""R"" #,##0.00")&amp;" too careful.","Exactly right.")))</f>
        <v/>
      </c>
    </row>
    <row r="33">
      <c r="A33" s="20" t="inlineStr">
        <is>
          <t>Week 7</t>
        </is>
      </c>
      <c r="B33" s="16">
        <f>'13 Week Forecast'!H17</f>
        <v/>
      </c>
      <c r="C33" s="46">
        <f>'13 Week Forecast'!H18</f>
        <v/>
      </c>
      <c r="D33" s="22" t="n"/>
      <c r="E33" s="18">
        <f>IF(C33&lt;&gt;"Actual","",'13 Week Forecast'!H32)</f>
        <v/>
      </c>
      <c r="F33" s="18">
        <f>IF(E33="","",E33-D33)</f>
        <v/>
      </c>
      <c r="G33" s="45">
        <f>IF(D33=0,"",IF(E33="","",E33/D33))</f>
        <v/>
      </c>
      <c r="H33" s="65">
        <f>IF(F33="","",IF(F33&lt;0,"You were "&amp;TEXT(-F33,"""R"" #,##0.00")&amp;" too optimistic.",IF(F33&gt;0,"You were "&amp;TEXT(F33,"""R"" #,##0.00")&amp;" too careful.","Exactly right.")))</f>
        <v/>
      </c>
    </row>
    <row r="34">
      <c r="A34" s="20" t="inlineStr">
        <is>
          <t>Week 8</t>
        </is>
      </c>
      <c r="B34" s="16">
        <f>'13 Week Forecast'!I17</f>
        <v/>
      </c>
      <c r="C34" s="46">
        <f>'13 Week Forecast'!I18</f>
        <v/>
      </c>
      <c r="D34" s="22" t="n"/>
      <c r="E34" s="18">
        <f>IF(C34&lt;&gt;"Actual","",'13 Week Forecast'!I32)</f>
        <v/>
      </c>
      <c r="F34" s="18">
        <f>IF(E34="","",E34-D34)</f>
        <v/>
      </c>
      <c r="G34" s="45">
        <f>IF(D34=0,"",IF(E34="","",E34/D34))</f>
        <v/>
      </c>
      <c r="H34" s="65">
        <f>IF(F34="","",IF(F34&lt;0,"You were "&amp;TEXT(-F34,"""R"" #,##0.00")&amp;" too optimistic.",IF(F34&gt;0,"You were "&amp;TEXT(F34,"""R"" #,##0.00")&amp;" too careful.","Exactly right.")))</f>
        <v/>
      </c>
    </row>
    <row r="35">
      <c r="A35" s="20" t="inlineStr">
        <is>
          <t>Week 9</t>
        </is>
      </c>
      <c r="B35" s="16">
        <f>'13 Week Forecast'!J17</f>
        <v/>
      </c>
      <c r="C35" s="46">
        <f>'13 Week Forecast'!J18</f>
        <v/>
      </c>
      <c r="D35" s="22" t="n"/>
      <c r="E35" s="18">
        <f>IF(C35&lt;&gt;"Actual","",'13 Week Forecast'!J32)</f>
        <v/>
      </c>
      <c r="F35" s="18">
        <f>IF(E35="","",E35-D35)</f>
        <v/>
      </c>
      <c r="G35" s="45">
        <f>IF(D35=0,"",IF(E35="","",E35/D35))</f>
        <v/>
      </c>
      <c r="H35" s="65">
        <f>IF(F35="","",IF(F35&lt;0,"You were "&amp;TEXT(-F35,"""R"" #,##0.00")&amp;" too optimistic.",IF(F35&gt;0,"You were "&amp;TEXT(F35,"""R"" #,##0.00")&amp;" too careful.","Exactly right.")))</f>
        <v/>
      </c>
    </row>
    <row r="36">
      <c r="A36" s="20" t="inlineStr">
        <is>
          <t>Week 10</t>
        </is>
      </c>
      <c r="B36" s="16">
        <f>'13 Week Forecast'!K17</f>
        <v/>
      </c>
      <c r="C36" s="46">
        <f>'13 Week Forecast'!K18</f>
        <v/>
      </c>
      <c r="D36" s="22" t="n"/>
      <c r="E36" s="18">
        <f>IF(C36&lt;&gt;"Actual","",'13 Week Forecast'!K32)</f>
        <v/>
      </c>
      <c r="F36" s="18">
        <f>IF(E36="","",E36-D36)</f>
        <v/>
      </c>
      <c r="G36" s="45">
        <f>IF(D36=0,"",IF(E36="","",E36/D36))</f>
        <v/>
      </c>
      <c r="H36" s="65">
        <f>IF(F36="","",IF(F36&lt;0,"You were "&amp;TEXT(-F36,"""R"" #,##0.00")&amp;" too optimistic.",IF(F36&gt;0,"You were "&amp;TEXT(F36,"""R"" #,##0.00")&amp;" too careful.","Exactly right.")))</f>
        <v/>
      </c>
    </row>
    <row r="37">
      <c r="A37" s="20" t="inlineStr">
        <is>
          <t>Week 11</t>
        </is>
      </c>
      <c r="B37" s="16">
        <f>'13 Week Forecast'!L17</f>
        <v/>
      </c>
      <c r="C37" s="46">
        <f>'13 Week Forecast'!L18</f>
        <v/>
      </c>
      <c r="D37" s="22" t="n"/>
      <c r="E37" s="18">
        <f>IF(C37&lt;&gt;"Actual","",'13 Week Forecast'!L32)</f>
        <v/>
      </c>
      <c r="F37" s="18">
        <f>IF(E37="","",E37-D37)</f>
        <v/>
      </c>
      <c r="G37" s="45">
        <f>IF(D37=0,"",IF(E37="","",E37/D37))</f>
        <v/>
      </c>
      <c r="H37" s="65">
        <f>IF(F37="","",IF(F37&lt;0,"You were "&amp;TEXT(-F37,"""R"" #,##0.00")&amp;" too optimistic.",IF(F37&gt;0,"You were "&amp;TEXT(F37,"""R"" #,##0.00")&amp;" too careful.","Exactly right.")))</f>
        <v/>
      </c>
    </row>
    <row r="38">
      <c r="A38" s="20" t="inlineStr">
        <is>
          <t>Week 12</t>
        </is>
      </c>
      <c r="B38" s="16">
        <f>'13 Week Forecast'!M17</f>
        <v/>
      </c>
      <c r="C38" s="46">
        <f>'13 Week Forecast'!M18</f>
        <v/>
      </c>
      <c r="D38" s="22" t="n"/>
      <c r="E38" s="18">
        <f>IF(C38&lt;&gt;"Actual","",'13 Week Forecast'!M32)</f>
        <v/>
      </c>
      <c r="F38" s="18">
        <f>IF(E38="","",E38-D38)</f>
        <v/>
      </c>
      <c r="G38" s="45">
        <f>IF(D38=0,"",IF(E38="","",E38/D38))</f>
        <v/>
      </c>
      <c r="H38" s="65">
        <f>IF(F38="","",IF(F38&lt;0,"You were "&amp;TEXT(-F38,"""R"" #,##0.00")&amp;" too optimistic.",IF(F38&gt;0,"You were "&amp;TEXT(F38,"""R"" #,##0.00")&amp;" too careful.","Exactly right.")))</f>
        <v/>
      </c>
    </row>
    <row r="39">
      <c r="A39" s="20" t="inlineStr">
        <is>
          <t>Week 13</t>
        </is>
      </c>
      <c r="B39" s="16">
        <f>'13 Week Forecast'!N17</f>
        <v/>
      </c>
      <c r="C39" s="46">
        <f>'13 Week Forecast'!N18</f>
        <v/>
      </c>
      <c r="D39" s="22" t="n"/>
      <c r="E39" s="18">
        <f>IF(C39&lt;&gt;"Actual","",'13 Week Forecast'!N32)</f>
        <v/>
      </c>
      <c r="F39" s="18">
        <f>IF(E39="","",E39-D39)</f>
        <v/>
      </c>
      <c r="G39" s="45">
        <f>IF(D39=0,"",IF(E39="","",E39/D39))</f>
        <v/>
      </c>
      <c r="H39" s="65">
        <f>IF(F39="","",IF(F39&lt;0,"You were "&amp;TEXT(-F39,"""R"" #,##0.00")&amp;" too optimistic.",IF(F39&gt;0,"You were "&amp;TEXT(F39,"""R"" #,##0.00")&amp;" too careful.","Exactly right.")))</f>
        <v/>
      </c>
    </row>
    <row r="40">
      <c r="A40" s="23" t="inlineStr">
        <is>
          <t>TOTALS ON THE WEEKS MARKED ACTUAL</t>
        </is>
      </c>
      <c r="B40" s="24" t="inlineStr"/>
      <c r="C40" s="24" t="inlineStr"/>
      <c r="D40" s="24">
        <f>SUMIF(C27:C39,"Actual",D27:D39)</f>
        <v/>
      </c>
      <c r="E40" s="24">
        <f>SUM(E27:E39)</f>
        <v/>
      </c>
      <c r="F40" s="24">
        <f>IF(D40=0,"",E40-D40)</f>
        <v/>
      </c>
      <c r="G40" s="24" t="inlineStr"/>
      <c r="H40" s="24" t="inlineStr"/>
    </row>
    <row r="41"/>
    <row r="42">
      <c r="A42" s="37" t="inlineStr">
        <is>
          <t>Forecast accuracy so far</t>
        </is>
      </c>
      <c r="B42" s="40">
        <f>IF(D40=0,"",1-ABS(E40-D40)/D40)</f>
        <v/>
      </c>
      <c r="C42" s="6" t="inlineStr">
        <is>
          <t>100 percent means your forecast money in matched reality across every week you have marked Actual.</t>
        </is>
      </c>
    </row>
    <row r="43" ht="25" customHeight="1">
      <c r="A43" s="37" t="inlineStr">
        <is>
          <t>Correction factor for future weeks</t>
        </is>
      </c>
      <c r="B43" s="66">
        <f>IF(D40=0,"",E40/D40)</f>
        <v/>
      </c>
      <c r="C43" s="6" t="inlineStr">
        <is>
          <t>Multiply the cash in you forecast for a future week by this figure to get a number your own track record supports.</t>
        </is>
      </c>
    </row>
    <row r="44" ht="34" customHeight="1">
      <c r="A44" s="67">
        <f>IF(D40=0,"Mark a week Actual and fill in what you had forecast, and this line will tell you how much to trust your own numbers.",IF(E40&lt;D40,"Your forecast is running "&amp;TEXT(1-E40/D40,"0.0%")&amp;" optimistic. Multiply the cash in you forecast for future weeks by "&amp;TEXT(E40/D40,"0.00")&amp;" and read the closing balance again.",IF(E40&gt;D40,"Your forecast is running "&amp;TEXT(E40/D40-1,"0.0%")&amp;" careful. That is the safer way to be wrong, but it hides headroom you could be using.","Your forecast is matching reality exactly. Keep doing whatever you are doing.")))</f>
        <v/>
      </c>
      <c r="B44" s="35" t="n"/>
      <c r="C44" s="35" t="n"/>
      <c r="D44" s="35" t="n"/>
      <c r="E44" s="35" t="n"/>
      <c r="F44" s="35" t="n"/>
      <c r="G44" s="35" t="n"/>
      <c r="H44" s="35" t="n"/>
    </row>
    <row r="45"/>
    <row r="46" ht="28" customHeight="1">
      <c r="A46" s="6" t="inlineStr">
        <is>
          <t>Note: If the lowest closing balance is below your buffer, work backwards from that week. Which payment can move? Which invoice can be collected earlier? The answer is almost never found in the week the money runs out.</t>
        </is>
      </c>
    </row>
    <row r="47" ht="28" customHeight="1">
      <c r="A47" s="6" t="inlineStr">
        <is>
          <t>Note: Take this sheet and the balance sheet to the bank before you need the money. A facility arranged in a good month costs far less than one arranged in a bad one.</t>
        </is>
      </c>
    </row>
    <row r="48" ht="28" customHeight="1">
      <c r="A48" s="6" t="inlineStr">
        <is>
          <t>Note: this template is a tool, not financial or legal advice for your particular situation. Speak to your accountant before you act on a number that matters.</t>
        </is>
      </c>
    </row>
  </sheetData>
  <mergeCells count="24">
    <mergeCell ref="C16:E16"/>
    <mergeCell ref="F20:H20"/>
    <mergeCell ref="A48:H48"/>
    <mergeCell ref="C20:E20"/>
    <mergeCell ref="F18:H18"/>
    <mergeCell ref="C22:E22"/>
    <mergeCell ref="F17:H17"/>
    <mergeCell ref="A1:H1"/>
    <mergeCell ref="C21:E21"/>
    <mergeCell ref="C43:H43"/>
    <mergeCell ref="F22:H22"/>
    <mergeCell ref="A7:H7"/>
    <mergeCell ref="A25:H25"/>
    <mergeCell ref="C17:E17"/>
    <mergeCell ref="A46:H46"/>
    <mergeCell ref="C19:E19"/>
    <mergeCell ref="A2:H2"/>
    <mergeCell ref="C18:E18"/>
    <mergeCell ref="A47:H47"/>
    <mergeCell ref="F16:H16"/>
    <mergeCell ref="C42:H42"/>
    <mergeCell ref="F19:H19"/>
    <mergeCell ref="A44:H44"/>
    <mergeCell ref="F21:H21"/>
  </mergeCells>
  <conditionalFormatting sqref="G10:G13">
    <cfRule type="expression" priority="1" dxfId="0" stopIfTrue="1">
      <formula>G10&lt;CashBuffer</formula>
    </cfRule>
    <cfRule type="expression" priority="2" dxfId="2" stopIfTrue="0">
      <formula>G10&gt;=CashBuffer</formula>
    </cfRule>
  </conditionalFormatting>
  <conditionalFormatting sqref="B18">
    <cfRule type="expression" priority="3" dxfId="0" stopIfTrue="1">
      <formula>B18&lt;CashBuffer</formula>
    </cfRule>
    <cfRule type="expression" priority="4" dxfId="2" stopIfTrue="0">
      <formula>B18&gt;=CashBuffer</formula>
    </cfRule>
  </conditionalFormatting>
  <conditionalFormatting sqref="B19">
    <cfRule type="expression" priority="5" dxfId="0" stopIfTrue="1">
      <formula>B19&gt;0</formula>
    </cfRule>
    <cfRule type="expression" priority="6" dxfId="2" stopIfTrue="0">
      <formula>B19=0</formula>
    </cfRule>
  </conditionalFormatting>
  <conditionalFormatting sqref="F27:F39">
    <cfRule type="expression" priority="7" dxfId="0" stopIfTrue="1">
      <formula>AND(ISNUMBER(F27),F27&lt;0)</formula>
    </cfRule>
    <cfRule type="expression" priority="8" dxfId="2" stopIfTrue="0">
      <formula>AND(ISNUMBER(F27),F27&gt;=0)</formula>
    </cfRule>
  </conditionalFormatting>
  <conditionalFormatting sqref="B42">
    <cfRule type="expression" priority="9" dxfId="0" stopIfTrue="1">
      <formula>AND(ISNUMBER(B42),B42&lt;0.8)</formula>
    </cfRule>
    <cfRule type="expression" priority="10" dxfId="1" stopIfTrue="1">
      <formula>AND(ISNUMBER(B42),B42&lt;0.95)</formula>
    </cfRule>
    <cfRule type="expression" priority="11" dxfId="2" stopIfTrue="0">
      <formula>ISNUMBER(B42)</formula>
    </cfRule>
  </conditionalFormatting>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B34"/>
  <sheetViews>
    <sheetView showGridLines="0" workbookViewId="0">
      <pane ySplit="7" topLeftCell="A8" activePane="bottomLeft" state="frozen"/>
      <selection pane="bottomLeft" activeCell="A1" sqref="A1"/>
    </sheetView>
  </sheetViews>
  <sheetFormatPr baseColWidth="8" defaultRowHeight="15"/>
  <cols>
    <col width="24" customWidth="1" min="1" max="1"/>
    <col width="104" customWidth="1" min="2" max="2"/>
  </cols>
  <sheetData>
    <row r="1" ht="26" customHeight="1">
      <c r="A1" s="1" t="inlineStr">
        <is>
          <t>HOW TO USE THIS FORECAST</t>
        </is>
      </c>
    </row>
    <row r="2" ht="14" customHeight="1">
      <c r="A2" s="2" t="inlineStr">
        <is>
          <t>Fifteen minutes every Monday.</t>
        </is>
      </c>
    </row>
    <row r="3" ht="4" customHeight="1"/>
    <row r="4" ht="15" customHeight="1">
      <c r="A4" s="3" t="inlineStr">
        <is>
          <t>[YOUR COMPANY NAME]</t>
        </is>
      </c>
      <c r="B4" s="4" t="inlineStr">
        <is>
          <t>[ Insert your logo in the space above ]</t>
        </is>
      </c>
    </row>
    <row r="5" ht="15" customHeight="1">
      <c r="A5" s="5" t="inlineStr">
        <is>
          <t>Reg No: [XXXX/XXXXXX/XX]</t>
        </is>
      </c>
      <c r="B5" s="4" t="inlineStr">
        <is>
          <t>VAT No: [4XXXXXXXXX] (if VAT registered)</t>
        </is>
      </c>
    </row>
    <row r="6" ht="15" customHeight="1">
      <c r="A6" s="5" t="inlineStr">
        <is>
          <t>[email@yourbusiness.co.za]</t>
        </is>
      </c>
      <c r="B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THE MONDAY ROUTINE</t>
        </is>
      </c>
      <c r="B8" s="7" t="n"/>
    </row>
    <row r="9" ht="42" customHeight="1">
      <c r="A9" s="68" t="inlineStr">
        <is>
          <t>Step 1</t>
        </is>
      </c>
      <c r="B9" s="69" t="inlineStr">
        <is>
          <t>On the forecast sheet, type the Monday date of week 1, your opening bank balance and your minimum cash buffer. Four weeks of your usual cash out is a sensible buffer. Everything else in the workbook is worked out from those three cells.</t>
        </is>
      </c>
    </row>
    <row r="10" ht="42" customHeight="1">
      <c r="A10" s="68" t="inlineStr">
        <is>
          <t>Step 2</t>
        </is>
      </c>
      <c r="B10" s="69" t="inlineStr">
        <is>
          <t>Set the amber threshold. It comes set at 1.20, which means amber starts 20 percent above your buffer. Raise it if you want earlier warning.</t>
        </is>
      </c>
    </row>
    <row r="11" ht="42" customHeight="1">
      <c r="A11" s="68" t="inlineStr">
        <is>
          <t>Step 3</t>
        </is>
      </c>
      <c r="B11" s="69" t="inlineStr">
        <is>
          <t>Open Money coming in. List every invoice you are waiting on: customer, invoice number, date, terms, amount including VAT, and how many days that customer usually pays late. Pick a confidence from the dropdown. The sheet works out the expected receipt date and which of the thirteen weeks it falls in.</t>
        </is>
      </c>
    </row>
    <row r="12" ht="42" customHeight="1">
      <c r="A12" s="68" t="inlineStr">
        <is>
          <t>Step 4</t>
        </is>
      </c>
      <c r="B12" s="69" t="inlineStr">
        <is>
          <t>On the same sheet, fill in the recurring income block at the bottom: cash sales week by week, owner capital, loan drawdowns and grants.</t>
        </is>
      </c>
    </row>
    <row r="13" ht="42" customHeight="1">
      <c r="A13" s="68" t="inlineStr">
        <is>
          <t>Step 5</t>
        </is>
      </c>
      <c r="B13" s="69" t="inlineStr">
        <is>
          <t>Open Money going out. List your commitments with their due dates and mark which ones are debit orders. Then fill in the statutory calendar: the EMP201 amounts per payroll month, your VAT category and the VAT you expect to pay, and your provisional tax. The due dates are worked out for you, weekends and public holidays included.</t>
        </is>
      </c>
    </row>
    <row r="14" ht="42" customHeight="1">
      <c r="A14" s="68" t="inlineStr">
        <is>
          <t>Step 5a</t>
        </is>
      </c>
      <c r="B14" s="69" t="inlineStr">
        <is>
          <t>Glance at Public holidays. It is filled in for 2026, 2027 and 2028 and you only touch it to add a year, or to switch off a proclaimed day that was never gazetted. Use the check a date block before you promise anyone that a payment will reflect.</t>
        </is>
      </c>
    </row>
    <row r="15" ht="42" customHeight="1">
      <c r="A15" s="68" t="inlineStr">
        <is>
          <t>Step 6</t>
        </is>
      </c>
      <c r="B15" s="69" t="inlineStr">
        <is>
          <t>Go back to the forecast. The rows in the green blocks are already filled from the builder sheets. Type into the blue blocks for anything you have not listed: wages, rent, fuel, drawings.</t>
        </is>
      </c>
    </row>
    <row r="16" ht="42" customHeight="1">
      <c r="A16" s="68" t="inlineStr">
        <is>
          <t>Step 7</t>
        </is>
      </c>
      <c r="B16" s="69" t="inlineStr">
        <is>
          <t>Read the verdict line under the grid. It names the first week you go below your buffer, and how much you are short. Then read the traffic light and the weeks of cover row.</t>
        </is>
      </c>
    </row>
    <row r="17" ht="42" customHeight="1">
      <c r="A17" s="68" t="inlineStr">
        <is>
          <t>Step 8</t>
        </is>
      </c>
      <c r="B17" s="69" t="inlineStr">
        <is>
          <t>Open Scenarios. Set how many weeks late you think everyone will be, how far sales could fall, and what an unexpected cost would look like. Read the combined worst case last, because that is the one that usually happens.</t>
        </is>
      </c>
    </row>
    <row r="18" ht="42" customHeight="1">
      <c r="A18" s="68" t="inlineStr">
        <is>
          <t>Step 9</t>
        </is>
      </c>
      <c r="B18" s="69" t="inlineStr">
        <is>
          <t>Open Monthly summary. Look at the lowest closing balance, not the last one. That is where the trouble is.</t>
        </is>
      </c>
    </row>
    <row r="19" ht="42" customHeight="1">
      <c r="A19" s="68" t="inlineStr">
        <is>
          <t>Step 10</t>
        </is>
      </c>
      <c r="B19" s="69" t="inlineStr">
        <is>
          <t>If any week is red or amber, work through When cash is tight and change the plan while you still have time.</t>
        </is>
      </c>
    </row>
    <row r="20" ht="42" customHeight="1">
      <c r="A20" s="68" t="inlineStr">
        <is>
          <t>Step 11</t>
        </is>
      </c>
      <c r="B20" s="69" t="inlineStr">
        <is>
          <t>Every Monday, before you overwrite a week with what really happened, copy the figure you had forecast into the forecast against actual block on Monthly summary. Then mark the week Actual. After three or four weeks the sheet tells you how optimistic you are and gives you a correction factor.</t>
        </is>
      </c>
    </row>
    <row r="21"/>
    <row r="22" ht="22" customHeight="1">
      <c r="A22" s="7" t="inlineStr">
        <is>
          <t>SOUTH AFRICAN PAYMENT DATES TO KEEP IN THE FORECAST</t>
        </is>
      </c>
      <c r="B22" s="7" t="n"/>
    </row>
    <row r="23" ht="50" customHeight="1">
      <c r="A23" s="68" t="inlineStr">
        <is>
          <t>PAYE, UIF and SDL</t>
        </is>
      </c>
      <c r="B23" s="69" t="inlineStr">
        <is>
          <t>Due 7 days after the end of the payroll month, on an EMP201 covering all three together. In practice, the 7th of the following month. Where the 7th falls on a weekend or a public holiday the deadline moves backwards, to the last business day before it, never forwards. The statutory calendar on Money going out does this for you, off the Public holidays sheet, and it walks back over a run of non business days rather than only one.</t>
        </is>
      </c>
    </row>
    <row r="24" ht="50" customHeight="1">
      <c r="A24" s="68" t="inlineStr">
        <is>
          <t>VAT</t>
        </is>
      </c>
      <c r="B24" s="69" t="inlineStr">
        <is>
          <t>On eFiling, on or before the last business day of the month after the end of your VAT period. Submitting and paying any other way brings it forward to the 25th. A due date falling on a weekend or a public holiday moves backwards here too. Categories A and B are two monthly and SARS decides which one you are on. Category C is monthly and must be filed electronically.</t>
        </is>
      </c>
    </row>
    <row r="25" ht="50" customHeight="1">
      <c r="A25" s="68" t="inlineStr">
        <is>
          <t>Provisional tax</t>
        </is>
      </c>
      <c r="B25" s="69" t="inlineStr">
        <is>
          <t>First payment by 31 August, second by the last day of February, and a voluntary top up by 30 September for a February year end.</t>
        </is>
      </c>
    </row>
    <row r="26" ht="50" customHeight="1">
      <c r="A26" s="68" t="inlineStr">
        <is>
          <t>Salaries</t>
        </is>
      </c>
      <c r="B26" s="69" t="inlineStr">
        <is>
          <t>Most businesses pay on the 25th or the last working day. Put them in the right week, because it is the single biggest payment most small businesses make.</t>
        </is>
      </c>
    </row>
    <row r="27" ht="50" customHeight="1">
      <c r="A27" s="68" t="inlineStr">
        <is>
          <t>CIPC annual return</t>
        </is>
      </c>
      <c r="B27" s="69" t="inlineStr">
        <is>
          <t>Within 30 business days of the anniversary of incorporation, with the beneficial ownership filing at the same time. R 100 while turnover is under R 1 000 000.</t>
        </is>
      </c>
    </row>
    <row r="28" ht="50" customHeight="1">
      <c r="A28" s="68" t="inlineStr">
        <is>
          <t>COIDA assessment</t>
        </is>
      </c>
      <c r="B28" s="69" t="inlineStr">
        <is>
          <t>Once a year, after the Return of Earnings. Budget for it, because it arrives as one lump.</t>
        </is>
      </c>
    </row>
    <row r="29" ht="50" customHeight="1">
      <c r="A29" s="68" t="inlineStr">
        <is>
          <t>Public holidays</t>
        </is>
      </c>
      <c r="B29" s="69" t="inlineStr">
        <is>
          <t>Section 3 of the Public Holidays Act 36 of 1994 makes Sundays and public holidays non business days. Section 2(1) adds the Monday whenever a holiday falls on a Sunday, as an extra day and not a substitute. March 2027 carries four public holidays in nine days, on the 21st, 22nd, 26th and 29th, which is a real trap if you are forecasting into that quarter.</t>
        </is>
      </c>
    </row>
    <row r="30"/>
    <row r="31" ht="30" customHeight="1">
      <c r="A31" s="6" t="inlineStr">
        <is>
          <t>Note: Late payment to SARS adds a once off 10 percent penalty plus interest, and the penalty applies even when the return was filed on time. File the return even in a month you cannot pay: the two penalties are separate.</t>
        </is>
      </c>
    </row>
    <row r="32" ht="30" customHeight="1">
      <c r="A32" s="6" t="inlineStr">
        <is>
          <t>Note: VAT is 15 percent and applies only if you are registered as a VAT vendor. Registration is compulsory once your taxable turnover passes R 2 300 000 in any 12 months, and voluntary from R 120 000.</t>
        </is>
      </c>
    </row>
    <row r="33" ht="30" customHeight="1">
      <c r="A33" s="6" t="inlineStr">
        <is>
          <t>Note: rates, thresholds and fees quoted in this template were correct at 10 August 2026. Check the current figures on sars.gov.za before you rely on them.</t>
        </is>
      </c>
    </row>
    <row r="34" ht="30" customHeight="1">
      <c r="A34" s="6" t="inlineStr">
        <is>
          <t>Note: this template is a tool, not financial or legal advice for your particular situation. Speak to your accountant before you act on a number that matters.</t>
        </is>
      </c>
    </row>
  </sheetData>
  <mergeCells count="7">
    <mergeCell ref="A2:B2"/>
    <mergeCell ref="A7:B7"/>
    <mergeCell ref="A33:B33"/>
    <mergeCell ref="A32:B32"/>
    <mergeCell ref="A1:B1"/>
    <mergeCell ref="A31:B31"/>
    <mergeCell ref="A34:B34"/>
  </mergeCells>
  <pageMargins left="0.75" right="0.75" top="1" bottom="1" header="0.5" footer="0.5"/>
  <pageSetup orientation="portrait" paperSize="9" fitToHeight="0" fitToWidth="1"/>
  <headerFooter>
    <oddHeader/>
    <oddFooter>&amp;C&amp;8 &amp;K6B6870Powered by Digitise SA | digitisesa.co.za | Free for South African entrepreneurs</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C50"/>
  <sheetViews>
    <sheetView showGridLines="0" workbookViewId="0">
      <pane ySplit="6" topLeftCell="A7" activePane="bottomLeft" state="frozen"/>
      <selection pane="bottomLeft" activeCell="A1" sqref="A1"/>
    </sheetView>
  </sheetViews>
  <sheetFormatPr baseColWidth="8" defaultRowHeight="15"/>
  <cols>
    <col width="4" customWidth="1" min="1" max="1"/>
    <col width="104" customWidth="1" min="2" max="2"/>
    <col width="26" customWidth="1" min="3" max="3"/>
  </cols>
  <sheetData>
    <row r="1" ht="26" customHeight="1">
      <c r="A1" s="1" t="inlineStr">
        <is>
          <t>WHAT TO DO WHEN CASH IS TIGHT</t>
        </is>
      </c>
    </row>
    <row r="2" ht="14" customHeight="1">
      <c r="A2" s="2" t="inlineStr">
        <is>
          <t>Practical steps, in the order most South African small businesses find useful.</t>
        </is>
      </c>
    </row>
    <row r="3" ht="4" customHeight="1"/>
    <row r="4" ht="15" customHeight="1">
      <c r="A4" s="3" t="inlineStr">
        <is>
          <t>[YOUR COMPANY NAME]</t>
        </is>
      </c>
      <c r="C4" s="4" t="inlineStr">
        <is>
          <t>[ Insert your logo in the space above ]</t>
        </is>
      </c>
    </row>
    <row r="5" ht="15" customHeight="1">
      <c r="A5" s="5" t="inlineStr">
        <is>
          <t>Reg No: [XXXX/XXXXXX/XX]</t>
        </is>
      </c>
      <c r="C5" s="4" t="inlineStr">
        <is>
          <t>VAT No: [4XXXXXXXXX] (if VAT registered)</t>
        </is>
      </c>
    </row>
    <row r="6" ht="15" customHeight="1">
      <c r="A6" s="5" t="inlineStr">
        <is>
          <t>[email@yourbusiness.co.za]</t>
        </is>
      </c>
      <c r="C6" s="4" t="inlineStr">
        <is>
          <t>[+27 XX XXX XXXX]</t>
        </is>
      </c>
    </row>
    <row r="7" ht="22" customHeight="1">
      <c r="A7" s="7" t="inlineStr">
        <is>
          <t>WHERE YOU ACTUALLY STAND TODAY</t>
        </is>
      </c>
      <c r="B7" s="7" t="n"/>
      <c r="C7" s="7" t="n"/>
    </row>
    <row r="8" ht="36" customHeight="1">
      <c r="A8" s="34">
        <f>IF(Week1="","Fill in the forecast sheet and this block will tell you how short you are, in which week, and how many days away that is.",IF(IFERROR(MATCH(1,'13 Week Forecast'!B62:N62,0),0)=0,"Nothing on this page is urgent for you today. Your closing balance holds above your buffer in all thirteen weeks, and the lowest you go is "&amp;TEXT(MIN('13 Week Forecast'!B57:N57),"""R"" #,##0.00")&amp;". Read it anyway, before you need it.","You go below your buffer in week "&amp;MATCH(1,'13 Week Forecast'!B62:N62,0)&amp;", starting "&amp;TEXT(INDEX(FcDates,1,MATCH(1,'13 Week Forecast'!B62:N62,0)),"DD MMMM YYYY")&amp;"."))</f>
        <v/>
      </c>
      <c r="B8" s="35" t="n"/>
      <c r="C8" s="35" t="n"/>
    </row>
    <row r="9" ht="36" customHeight="1">
      <c r="A9" s="36">
        <f>IF(Week1="","",IF(IFERROR(MATCH(1,'13 Week Forecast'!B62:N62,0),0)=0,"","You are short "&amp;TEXT(CashBuffer-INDEX('13 Week Forecast'!B57:N57,1,MATCH(1,'13 Week Forecast'!B62:N62,0)),"""R"" #,##0.00")&amp;" in that week, and "&amp;TEXT(CashBuffer-MIN('13 Week Forecast'!B57:N57),"""R"" #,##0.00")&amp;" at the worst point in the quarter. That is "&amp;MAX(0,INDEX(FcDates,1,MATCH(1,'13 Week Forecast'!B62:N62,0))-TODAY())&amp;" days from today. Everything below is what you do with those days."))</f>
        <v/>
      </c>
      <c r="B9" s="35" t="n"/>
      <c r="C9" s="35" t="n"/>
    </row>
    <row r="10"/>
    <row r="11" ht="22" customHeight="1">
      <c r="A11" s="7" t="inlineStr">
        <is>
          <t>THIS WEEK: GET MONEY IN</t>
        </is>
      </c>
      <c r="B11" s="7" t="n"/>
      <c r="C11" s="7" t="n"/>
    </row>
    <row r="12" ht="40" customHeight="1">
      <c r="A12" s="70" t="inlineStr">
        <is>
          <t>•</t>
        </is>
      </c>
      <c r="B12" s="69" t="inlineStr">
        <is>
          <t>Phone every customer with an overdue invoice today. Not email, phone. Ask for a date, then confirm the date in writing on WhatsApp or email the same day.</t>
        </is>
      </c>
    </row>
    <row r="13" ht="40" customHeight="1">
      <c r="A13" s="70" t="inlineStr">
        <is>
          <t>•</t>
        </is>
      </c>
      <c r="B13" s="69" t="inlineStr">
        <is>
          <t>Check the invoice is valid before you argue about it. Above R 5 000 including VAT you need a full tax invoice with your VAT number, the customer's details, a serial number, a date and a proper description. A defective invoice is a free excuse to delay you.</t>
        </is>
      </c>
    </row>
    <row r="14" ht="40" customHeight="1">
      <c r="A14" s="70" t="inlineStr">
        <is>
          <t>•</t>
        </is>
      </c>
      <c r="B14" s="69" t="inlineStr">
        <is>
          <t>Offer a settlement discount for payment today, but work out what it costs you first. Two percent to be paid 30 days early is expensive money if you do it every month.</t>
        </is>
      </c>
    </row>
    <row r="15" ht="40" customHeight="1">
      <c r="A15" s="70" t="inlineStr">
        <is>
          <t>•</t>
        </is>
      </c>
      <c r="B15" s="69" t="inlineStr">
        <is>
          <t>Invoice everything you have already delivered. Most small businesses have work sitting uninvoiced somewhere.</t>
        </is>
      </c>
    </row>
    <row r="16" ht="40" customHeight="1">
      <c r="A16" s="70" t="inlineStr">
        <is>
          <t>•</t>
        </is>
      </c>
      <c r="B16" s="69" t="inlineStr">
        <is>
          <t>Ask for a deposit on new work. Fifty percent up front is normal in construction, catering and manufacturing.</t>
        </is>
      </c>
    </row>
    <row r="17" ht="40" customHeight="1">
      <c r="A17" s="70" t="inlineStr">
        <is>
          <t>•</t>
        </is>
      </c>
      <c r="B17" s="69" t="inlineStr">
        <is>
          <t>Sell slow moving stock at a discount. Cash today beats stock on a shelf at full price.</t>
        </is>
      </c>
    </row>
    <row r="18" ht="40" customHeight="1">
      <c r="A18" s="70" t="inlineStr">
        <is>
          <t>•</t>
        </is>
      </c>
      <c r="B18" s="69" t="inlineStr">
        <is>
          <t>Open Money coming in and sort by confidence. Everything marked Doubtful is the cheapest cash in the business, because you have already done the work.</t>
        </is>
      </c>
    </row>
    <row r="19"/>
    <row r="20" ht="22" customHeight="1">
      <c r="A20" s="7" t="inlineStr">
        <is>
          <t>THIS WEEK: SLOW MONEY DOWN</t>
        </is>
      </c>
      <c r="B20" s="7" t="n"/>
      <c r="C20" s="7" t="n"/>
    </row>
    <row r="21" ht="40" customHeight="1">
      <c r="A21" s="70" t="inlineStr">
        <is>
          <t>•</t>
        </is>
      </c>
      <c r="B21" s="69" t="inlineStr">
        <is>
          <t>Speak to suppliers before the due date, not after. Ask for 30 more days in writing. A supplier who is told is an ally, a supplier who is ignored is a creditor.</t>
        </is>
      </c>
    </row>
    <row r="22" ht="40" customHeight="1">
      <c r="A22" s="70" t="inlineStr">
        <is>
          <t>•</t>
        </is>
      </c>
      <c r="B22" s="69" t="inlineStr">
        <is>
          <t>Cancel the subscriptions nobody uses. Check the bank statement line by line for debit orders you forgot about, and mark every one you find on the Money going out sheet.</t>
        </is>
      </c>
    </row>
    <row r="23" ht="40" customHeight="1">
      <c r="A23" s="70" t="inlineStr">
        <is>
          <t>•</t>
        </is>
      </c>
      <c r="B23" s="69" t="inlineStr">
        <is>
          <t>Stop or postpone anything that is not urgent: new equipment, a marketing campaign, the vehicle you were about to buy.</t>
        </is>
      </c>
    </row>
    <row r="24" ht="40" customHeight="1">
      <c r="A24" s="70" t="inlineStr">
        <is>
          <t>•</t>
        </is>
      </c>
      <c r="B24" s="69" t="inlineStr">
        <is>
          <t>Cut owner drawings before you cut wages. Late wages breach the BCEA, destroy trust and cost you people you cannot replace.</t>
        </is>
      </c>
    </row>
    <row r="25"/>
    <row r="26" ht="22" customHeight="1">
      <c r="A26" s="7" t="inlineStr">
        <is>
          <t>TALK TO SARS BEFORE YOU MISS A PAYMENT</t>
        </is>
      </c>
      <c r="B26" s="7" t="n"/>
      <c r="C26" s="7" t="n"/>
    </row>
    <row r="27" ht="40" customHeight="1">
      <c r="A27" s="70" t="inlineStr">
        <is>
          <t>•</t>
        </is>
      </c>
      <c r="B27" s="69" t="inlineStr">
        <is>
          <t>File the return even if you cannot pay. The penalty for not filing is separate from the penalty for not paying, and filing keeps your Tax Compliance Status alive.</t>
        </is>
      </c>
    </row>
    <row r="28" ht="40" customHeight="1">
      <c r="A28" s="70" t="inlineStr">
        <is>
          <t>•</t>
        </is>
      </c>
      <c r="B28" s="69" t="inlineStr">
        <is>
          <t>Ask SARS for a payment arrangement or a deferral through eFiling. SARS grants them, and the terms are far better than what you get after a final demand.</t>
        </is>
      </c>
    </row>
    <row r="29" ht="40" customHeight="1">
      <c r="A29" s="70" t="inlineStr">
        <is>
          <t>•</t>
        </is>
      </c>
      <c r="B29" s="69" t="inlineStr">
        <is>
          <t>Never use PAYE, UIF or VAT money as working capital. It was never your money. The penalties are severe and, for a company, a director can be held personally liable for outstanding employees' tax.</t>
        </is>
      </c>
    </row>
    <row r="30" ht="40" customHeight="1">
      <c r="A30" s="70" t="inlineStr">
        <is>
          <t>•</t>
        </is>
      </c>
      <c r="B30" s="69" t="inlineStr">
        <is>
          <t>Keep your Tax Compliance Status PIN current. Without it you lose tenders and contracts, which makes a cash problem worse.</t>
        </is>
      </c>
    </row>
    <row r="31"/>
    <row r="32" ht="22" customHeight="1">
      <c r="A32" s="7" t="inlineStr">
        <is>
          <t>TALK TO THE BANK AND THE LANDLORD EARLY</t>
        </is>
      </c>
      <c r="B32" s="7" t="n"/>
      <c r="C32" s="7" t="n"/>
    </row>
    <row r="33" ht="40" customHeight="1">
      <c r="A33" s="70" t="inlineStr">
        <is>
          <t>•</t>
        </is>
      </c>
      <c r="B33" s="69" t="inlineStr">
        <is>
          <t>A restructured loan agreed in advance costs far less than a default. Ask about a payment holiday, a longer term or an interest only period.</t>
        </is>
      </c>
    </row>
    <row r="34" ht="40" customHeight="1">
      <c r="A34" s="70" t="inlineStr">
        <is>
          <t>•</t>
        </is>
      </c>
      <c r="B34" s="69" t="inlineStr">
        <is>
          <t>Ask the landlord for a rent deferral rather than a reduction. Landlords say yes to deferral far more often.</t>
        </is>
      </c>
    </row>
    <row r="35" ht="40" customHeight="1">
      <c r="A35" s="70" t="inlineStr">
        <is>
          <t>•</t>
        </is>
      </c>
      <c r="B35" s="69" t="inlineStr">
        <is>
          <t>Look at an overdraft or a facility now, while the figures still look reasonable. Banks lend to businesses that can show a forecast, which is exactly what this file is. Print the forecast, the monthly summary and the scenarios together.</t>
        </is>
      </c>
    </row>
    <row r="36" ht="40" customHeight="1">
      <c r="A36" s="70" t="inlineStr">
        <is>
          <t>•</t>
        </is>
      </c>
      <c r="B36" s="69" t="inlineStr">
        <is>
          <t>Compare the true cost of invoice discounting or debtor finance before you sign. Interest on incidental credit is capped at 2 percent a month under the National Credit Act, and a discounting fee can be far more than it looks.</t>
        </is>
      </c>
    </row>
    <row r="37"/>
    <row r="38" ht="22" customHeight="1">
      <c r="A38" s="7" t="inlineStr">
        <is>
          <t>LOOK WIDER</t>
        </is>
      </c>
      <c r="B38" s="7" t="n"/>
      <c r="C38" s="7" t="n"/>
    </row>
    <row r="39" ht="40" customHeight="1">
      <c r="A39" s="70" t="inlineStr">
        <is>
          <t>•</t>
        </is>
      </c>
      <c r="B39" s="69" t="inlineStr">
        <is>
          <t>Development finance institutions such as the IDC, the NEF and the NYDA, and your provincial development agency, offer working capital and bridging facilities to small businesses. Check what each currently offers before you apply, and never pay an agent a fee to apply on your behalf.</t>
        </is>
      </c>
    </row>
    <row r="40" ht="40" customHeight="1">
      <c r="A40" s="70" t="inlineStr">
        <is>
          <t>•</t>
        </is>
      </c>
      <c r="B40" s="69" t="inlineStr">
        <is>
          <t>Ask your biggest customer for shorter payment terms in exchange for a small discount, or ask to be paid in stages on long jobs. The Scenarios sheet shows you exactly what that customer going slow would cost you.</t>
        </is>
      </c>
    </row>
    <row r="41" ht="40" customHeight="1">
      <c r="A41" s="70" t="inlineStr">
        <is>
          <t>•</t>
        </is>
      </c>
      <c r="B41" s="69" t="inlineStr">
        <is>
          <t>Load shedding costs money either way. Work out what a lost trading day costs you, then decide deliberately between fuel, an inverter and doing nothing.</t>
        </is>
      </c>
    </row>
    <row r="42" ht="40" customHeight="1">
      <c r="A42" s="70" t="inlineStr">
        <is>
          <t>•</t>
        </is>
      </c>
      <c r="B42" s="69" t="inlineStr">
        <is>
          <t>If the business cannot pay its debts as they fall due, get advice quickly. Trading on recklessly is an offence under the Companies Act, and business rescue under Chapter 6 works far better early than late.</t>
        </is>
      </c>
    </row>
    <row r="43"/>
    <row r="44" ht="22" customHeight="1">
      <c r="A44" s="7" t="inlineStr">
        <is>
          <t>EVERY TIME</t>
        </is>
      </c>
      <c r="B44" s="7" t="n"/>
      <c r="C44" s="7" t="n"/>
    </row>
    <row r="45" ht="40" customHeight="1">
      <c r="A45" s="70" t="inlineStr">
        <is>
          <t>•</t>
        </is>
      </c>
      <c r="B45" s="69" t="inlineStr">
        <is>
          <t>Write down every arrangement you make, with the date, the person and the amount. Memory is not a record.</t>
        </is>
      </c>
    </row>
    <row r="46" ht="40" customHeight="1">
      <c r="A46" s="70" t="inlineStr">
        <is>
          <t>•</t>
        </is>
      </c>
      <c r="B46" s="69" t="inlineStr">
        <is>
          <t>Update this forecast the same day anything changes. A forecast that is two weeks old is a story, not a tool.</t>
        </is>
      </c>
    </row>
    <row r="47" ht="40" customHeight="1">
      <c r="A47" s="70" t="inlineStr">
        <is>
          <t>•</t>
        </is>
      </c>
      <c r="B47" s="69" t="inlineStr">
        <is>
          <t>Fix the cause, not just the week. Recurring cash trouble is usually one of four things: your prices are too low, your customers pay too slowly, your stock is too big, or your drawings are too high.</t>
        </is>
      </c>
    </row>
    <row r="48"/>
    <row r="49" ht="30" customHeight="1">
      <c r="A49" s="6" t="inlineStr">
        <is>
          <t>Note: None of this is legal or financial advice for your particular situation. If the business is in real trouble, speak to your accountant, and speak to them early.</t>
        </is>
      </c>
    </row>
    <row r="50" ht="30" customHeight="1">
      <c r="A50" s="6" t="inlineStr">
        <is>
          <t>Note: rates, thresholds and fees quoted in this template were correct at 10 August 2026. Check the current figures on sars.gov.za before you rely on them.</t>
        </is>
      </c>
    </row>
  </sheetData>
  <mergeCells count="32">
    <mergeCell ref="B47:C47"/>
    <mergeCell ref="B16:C16"/>
    <mergeCell ref="B46:C46"/>
    <mergeCell ref="B22:C22"/>
    <mergeCell ref="B27:C27"/>
    <mergeCell ref="B18:C18"/>
    <mergeCell ref="A50:C50"/>
    <mergeCell ref="A2:C2"/>
    <mergeCell ref="B12:C12"/>
    <mergeCell ref="B39:C39"/>
    <mergeCell ref="B21:C21"/>
    <mergeCell ref="A8:C8"/>
    <mergeCell ref="B42:C42"/>
    <mergeCell ref="B23:C23"/>
    <mergeCell ref="B14:C14"/>
    <mergeCell ref="B17:C17"/>
    <mergeCell ref="B13:C13"/>
    <mergeCell ref="B29:C29"/>
    <mergeCell ref="B34:C34"/>
    <mergeCell ref="B28:C28"/>
    <mergeCell ref="A9:C9"/>
    <mergeCell ref="B40:C40"/>
    <mergeCell ref="B24:C24"/>
    <mergeCell ref="B30:C30"/>
    <mergeCell ref="A49:C49"/>
    <mergeCell ref="B15:C15"/>
    <mergeCell ref="B33:C33"/>
    <mergeCell ref="A1:C1"/>
    <mergeCell ref="B45:C45"/>
    <mergeCell ref="B36:C36"/>
    <mergeCell ref="B41:C41"/>
    <mergeCell ref="B35:C35"/>
  </mergeCells>
  <pageMargins left="0.75" right="0.75" top="1" bottom="1" header="0.5" footer="0.5"/>
  <pageSetup orientation="portrait" paperSize="9" fitToHeight="0" fitToWidth="1"/>
  <headerFooter>
    <oddHeader/>
    <oddFooter>&amp;C&amp;8 &amp;K6B6870Powered by Digitise SA | digitisesa.co.za | Free for South African entrepreneurs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2026-09-22T10:51:53Z</dcterms:created>
  <dcterms:modified xmlns:dcterms="http://purl.org/dc/terms/" xmlns:xsi="http://www.w3.org/2001/XMLSchema-instance" xsi:type="dcterms:W3CDTF">2026-09-22T10:51:54Z</dcterms:modified>
</cp:coreProperties>
</file>